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2016 COMPRAS PUBLICAS\BID III\RSND\CONSTRUCCION SE EL ROSARIO\Presupuesto\"/>
    </mc:Choice>
  </mc:AlternateContent>
  <bookViews>
    <workbookView xWindow="0" yWindow="0" windowWidth="25605" windowHeight="16005"/>
  </bookViews>
  <sheets>
    <sheet name="FINAL TABLA CANT PRECIOS " sheetId="9" r:id="rId1"/>
  </sheets>
  <definedNames>
    <definedName name="_xlnm._FilterDatabase" localSheetId="0" hidden="1">'FINAL TABLA CANT PRECIOS '!$C$1:$C$270</definedName>
    <definedName name="_xlnm.Print_Area" localSheetId="0">'FINAL TABLA CANT PRECIOS '!$B$12:$G$271</definedName>
    <definedName name="_xlnm.Print_Titles" localSheetId="0">'FINAL TABLA CANT PRECIOS '!$1:$11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0" i="9" l="1"/>
  <c r="G261" i="9"/>
  <c r="G13" i="9"/>
  <c r="G14" i="9"/>
  <c r="G15" i="9"/>
  <c r="G16" i="9"/>
  <c r="G17" i="9"/>
  <c r="G18" i="9"/>
  <c r="G12" i="9"/>
  <c r="E20" i="9"/>
  <c r="G20" i="9"/>
  <c r="E21" i="9"/>
  <c r="G21" i="9"/>
  <c r="E22" i="9"/>
  <c r="G22" i="9"/>
  <c r="E23" i="9"/>
  <c r="G23" i="9"/>
  <c r="E24" i="9"/>
  <c r="G24" i="9"/>
  <c r="E25" i="9"/>
  <c r="G25" i="9"/>
  <c r="E26" i="9"/>
  <c r="G26" i="9"/>
  <c r="E27" i="9"/>
  <c r="G27" i="9"/>
  <c r="E28" i="9"/>
  <c r="G28" i="9"/>
  <c r="E29" i="9"/>
  <c r="G29" i="9"/>
  <c r="E30" i="9"/>
  <c r="G30" i="9"/>
  <c r="G31" i="9"/>
  <c r="G32" i="9"/>
  <c r="G33" i="9"/>
  <c r="G19" i="9"/>
  <c r="G35" i="9"/>
  <c r="E36" i="9"/>
  <c r="G36" i="9"/>
  <c r="E37" i="9"/>
  <c r="G37" i="9"/>
  <c r="E38" i="9"/>
  <c r="G38" i="9"/>
  <c r="G39" i="9"/>
  <c r="G40" i="9"/>
  <c r="G41" i="9"/>
  <c r="G42" i="9"/>
  <c r="G43" i="9"/>
  <c r="G44" i="9"/>
  <c r="G34" i="9"/>
  <c r="G46" i="9"/>
  <c r="G47" i="9"/>
  <c r="E48" i="9"/>
  <c r="G48" i="9"/>
  <c r="G49" i="9"/>
  <c r="G50" i="9"/>
  <c r="G45" i="9"/>
  <c r="G52" i="9"/>
  <c r="E53" i="9"/>
  <c r="G53" i="9"/>
  <c r="E54" i="9"/>
  <c r="G54" i="9"/>
  <c r="E55" i="9"/>
  <c r="G55" i="9"/>
  <c r="E56" i="9"/>
  <c r="G56" i="9"/>
  <c r="E57" i="9"/>
  <c r="G57" i="9"/>
  <c r="E58" i="9"/>
  <c r="G58" i="9"/>
  <c r="E59" i="9"/>
  <c r="G59" i="9"/>
  <c r="G60" i="9"/>
  <c r="E61" i="9"/>
  <c r="G61" i="9"/>
  <c r="G62" i="9"/>
  <c r="G63" i="9"/>
  <c r="G64" i="9"/>
  <c r="E65" i="9"/>
  <c r="G65" i="9"/>
  <c r="G66" i="9"/>
  <c r="E67" i="9"/>
  <c r="G67" i="9"/>
  <c r="G68" i="9"/>
  <c r="G69" i="9"/>
  <c r="G70" i="9"/>
  <c r="G71" i="9"/>
  <c r="G72" i="9"/>
  <c r="G73" i="9"/>
  <c r="G74" i="9"/>
  <c r="G75" i="9"/>
  <c r="G76" i="9"/>
  <c r="E77" i="9"/>
  <c r="G77" i="9"/>
  <c r="G78" i="9"/>
  <c r="G79" i="9"/>
  <c r="G80" i="9"/>
  <c r="E81" i="9"/>
  <c r="G81" i="9"/>
  <c r="E82" i="9"/>
  <c r="G82" i="9"/>
  <c r="G83" i="9"/>
  <c r="G84" i="9"/>
  <c r="G85" i="9"/>
  <c r="G86" i="9"/>
  <c r="G87" i="9"/>
  <c r="G51" i="9"/>
  <c r="E89" i="9"/>
  <c r="G89" i="9"/>
  <c r="E90" i="9"/>
  <c r="G90" i="9"/>
  <c r="E91" i="9"/>
  <c r="G91" i="9"/>
  <c r="E92" i="9"/>
  <c r="G92" i="9"/>
  <c r="E93" i="9"/>
  <c r="G93" i="9"/>
  <c r="G94" i="9"/>
  <c r="G88" i="9"/>
  <c r="E96" i="9"/>
  <c r="G96" i="9"/>
  <c r="E97" i="9"/>
  <c r="G97" i="9"/>
  <c r="E98" i="9"/>
  <c r="G98" i="9"/>
  <c r="G99" i="9"/>
  <c r="E100" i="9"/>
  <c r="G100" i="9"/>
  <c r="G95" i="9"/>
  <c r="G102" i="9"/>
  <c r="E103" i="9"/>
  <c r="G103" i="9"/>
  <c r="E104" i="9"/>
  <c r="G104" i="9"/>
  <c r="G101" i="9"/>
  <c r="G106" i="9"/>
  <c r="G107" i="9"/>
  <c r="G108" i="9"/>
  <c r="E109" i="9"/>
  <c r="G109" i="9"/>
  <c r="E110" i="9"/>
  <c r="G110" i="9"/>
  <c r="E111" i="9"/>
  <c r="G111" i="9"/>
  <c r="G112" i="9"/>
  <c r="G113" i="9"/>
  <c r="E114" i="9"/>
  <c r="G114" i="9"/>
  <c r="G115" i="9"/>
  <c r="E116" i="9"/>
  <c r="G116" i="9"/>
  <c r="G117" i="9"/>
  <c r="G118" i="9"/>
  <c r="E119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05" i="9"/>
  <c r="G137" i="9"/>
  <c r="E138" i="9"/>
  <c r="G138" i="9"/>
  <c r="E139" i="9"/>
  <c r="G139" i="9"/>
  <c r="E140" i="9"/>
  <c r="G140" i="9"/>
  <c r="G141" i="9"/>
  <c r="G142" i="9"/>
  <c r="G143" i="9"/>
  <c r="G144" i="9"/>
  <c r="G145" i="9"/>
  <c r="G136" i="9"/>
  <c r="G147" i="9"/>
  <c r="G148" i="9"/>
  <c r="G149" i="9"/>
  <c r="G150" i="9"/>
  <c r="G151" i="9"/>
  <c r="G152" i="9"/>
  <c r="G153" i="9"/>
  <c r="G154" i="9"/>
  <c r="G155" i="9"/>
  <c r="E156" i="9"/>
  <c r="G156" i="9"/>
  <c r="G157" i="9"/>
  <c r="G146" i="9"/>
  <c r="G159" i="9"/>
  <c r="G160" i="9"/>
  <c r="G161" i="9"/>
  <c r="G162" i="9"/>
  <c r="G163" i="9"/>
  <c r="G164" i="9"/>
  <c r="G165" i="9"/>
  <c r="G166" i="9"/>
  <c r="G158" i="9"/>
  <c r="G168" i="9"/>
  <c r="G169" i="9"/>
  <c r="G170" i="9"/>
  <c r="G171" i="9"/>
  <c r="G172" i="9"/>
  <c r="G167" i="9"/>
  <c r="E174" i="9"/>
  <c r="G174" i="9"/>
  <c r="E175" i="9"/>
  <c r="G175" i="9"/>
  <c r="G176" i="9"/>
  <c r="G177" i="9"/>
  <c r="G178" i="9"/>
  <c r="G179" i="9"/>
  <c r="G180" i="9"/>
  <c r="E181" i="9"/>
  <c r="G181" i="9"/>
  <c r="G182" i="9"/>
  <c r="E183" i="9"/>
  <c r="G183" i="9"/>
  <c r="G184" i="9"/>
  <c r="G185" i="9"/>
  <c r="G186" i="9"/>
  <c r="G173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E201" i="9"/>
  <c r="G201" i="9"/>
  <c r="E202" i="9"/>
  <c r="G202" i="9"/>
  <c r="G203" i="9"/>
  <c r="G204" i="9"/>
  <c r="G205" i="9"/>
  <c r="G206" i="9"/>
  <c r="G207" i="9"/>
  <c r="G208" i="9"/>
  <c r="G209" i="9"/>
  <c r="E210" i="9"/>
  <c r="G210" i="9"/>
  <c r="E211" i="9"/>
  <c r="G211" i="9"/>
  <c r="E212" i="9"/>
  <c r="G212" i="9"/>
  <c r="E213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F230" i="9"/>
  <c r="G230" i="9"/>
  <c r="F231" i="9"/>
  <c r="G231" i="9"/>
  <c r="F232" i="9"/>
  <c r="G232" i="9"/>
  <c r="F233" i="9"/>
  <c r="G233" i="9"/>
  <c r="G234" i="9"/>
  <c r="G187" i="9"/>
  <c r="G236" i="9"/>
  <c r="G235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37" i="9"/>
  <c r="G253" i="9"/>
  <c r="G254" i="9"/>
  <c r="G252" i="9"/>
  <c r="G255" i="9"/>
  <c r="G256" i="9"/>
  <c r="G266" i="9"/>
  <c r="G264" i="9"/>
  <c r="G267" i="9"/>
  <c r="G262" i="9"/>
  <c r="G259" i="9"/>
  <c r="G257" i="9"/>
  <c r="G271" i="9"/>
  <c r="G270" i="9"/>
</calcChain>
</file>

<file path=xl/sharedStrings.xml><?xml version="1.0" encoding="utf-8"?>
<sst xmlns="http://schemas.openxmlformats.org/spreadsheetml/2006/main" count="530" uniqueCount="238">
  <si>
    <t>AREA DE TERRENO :</t>
  </si>
  <si>
    <t>TABLA DE CANTIDADES Y PRECIOS</t>
  </si>
  <si>
    <t>COSTO</t>
  </si>
  <si>
    <t>R U B R O S</t>
  </si>
  <si>
    <t>CANTIDAD</t>
  </si>
  <si>
    <t>U.</t>
  </si>
  <si>
    <t>TOTAL</t>
  </si>
  <si>
    <t>U.S.D.</t>
  </si>
  <si>
    <t>A</t>
  </si>
  <si>
    <t>GENERALES</t>
  </si>
  <si>
    <t>B</t>
  </si>
  <si>
    <t>CERRAMIENTO H.A. Y MAMPOSTERIA</t>
  </si>
  <si>
    <t>C</t>
  </si>
  <si>
    <t>PORTON METALICO Y RAMPA DE H.A. INGRESO A S/E</t>
  </si>
  <si>
    <t>D</t>
  </si>
  <si>
    <t xml:space="preserve">BASE Y CUBETO DE H.A. PARA GIS- TRANSFORMADOR </t>
  </si>
  <si>
    <t>E</t>
  </si>
  <si>
    <t>SALA DE TABLEROS   9.00 x 6.00 MTS</t>
  </si>
  <si>
    <t>F</t>
  </si>
  <si>
    <t>ELECTROCANALES EXTERIORES</t>
  </si>
  <si>
    <t>G</t>
  </si>
  <si>
    <t>BASES H.A. PARA EQUIPOS EXTERIORES</t>
  </si>
  <si>
    <t>H</t>
  </si>
  <si>
    <t>CAJAS H.A. Y DUCTOS PVC. PARA CABLES DE CONTROL</t>
  </si>
  <si>
    <t>I</t>
  </si>
  <si>
    <t>CASETA DE GUARDIANIA</t>
  </si>
  <si>
    <t>J</t>
  </si>
  <si>
    <t>CISTERNA H.A-CASETA- BOMBA 1/2 HP. Y TANQUE DE PRESION 40 gln</t>
  </si>
  <si>
    <t>K</t>
  </si>
  <si>
    <t>INSTALACIONES HIDROSANITARIAS</t>
  </si>
  <si>
    <t>L</t>
  </si>
  <si>
    <t>INSTALACIONES ELECTRICAS 110 - 220 V.</t>
  </si>
  <si>
    <t>M</t>
  </si>
  <si>
    <t>SUMINISTRO E INSTALACION DE BOMBA SUMERGIBLE  PARA POZO</t>
  </si>
  <si>
    <t>TAPA DE H.A. PARA SEGURIDAD DEL POZO PROFUNDO DE AGUA SUBTERR.</t>
  </si>
  <si>
    <t>PERMISOS DE CONSTRUCCION</t>
  </si>
  <si>
    <t>EXCAVACION Y DESALOJO A MAQUINA</t>
  </si>
  <si>
    <t>CASETA DE GUARDIANIA Y MATERIALES</t>
  </si>
  <si>
    <t>BATERIA SANITARIA PROVISIONAL PORTATIL (1 unidad)</t>
  </si>
  <si>
    <t>INSTALACION PROVISIONAL DE ENERGIA ELECTRICA</t>
  </si>
  <si>
    <t>TRAZADO Y REPLANTEO</t>
  </si>
  <si>
    <t>REPLANTILLO DE HORMIGON SIMPLE, 140 kg/cm2</t>
  </si>
  <si>
    <t>PLINTOS H.A.</t>
  </si>
  <si>
    <t>MURO DE HORMIGON CICLOPEO 25 X 40 CON PIEDRA BASE</t>
  </si>
  <si>
    <t>RIOSTRAS H.A. 20 x 20</t>
  </si>
  <si>
    <t>PILARES DE PLANTA BAJA</t>
  </si>
  <si>
    <t>VIGUETAS 10 x 20 H.A.</t>
  </si>
  <si>
    <t>PAREDES INT-EXT. con bloques de hormigon PL9 ( revocado )  h= 2,60</t>
  </si>
  <si>
    <t xml:space="preserve">CERCO PERIMETRAL  ALAMBRE DE PUAS TRIPLE GALV.  3 HILADAS </t>
  </si>
  <si>
    <t>PINTURA DE CERRAMIENTO ( blanqueado )</t>
  </si>
  <si>
    <t>EXCAVACION A PULSO</t>
  </si>
  <si>
    <t>CONTRAPISO 20cm DE H.A. f´c  240 kg/cm2 con malla elect. 8x15</t>
  </si>
  <si>
    <t>ENLUCIDO EXTERIOR</t>
  </si>
  <si>
    <t>PORTON METALICO TIPO BANDEJA 7.00 x 3.00 m</t>
  </si>
  <si>
    <t>PINTURA EXTERIOR ELASTOMERICA</t>
  </si>
  <si>
    <t>BASE H.A. TRANSFORMADOR 7,00x4,40x0,45 Y CUBETO 0,50 x 0,60  f´c 240 kg/cm2</t>
  </si>
  <si>
    <t>TAPAS METALICAS GALVANIZADAS 2.00 x 0.50 m</t>
  </si>
  <si>
    <t>MURO DE PIEDRA BASE de 20 x 30</t>
  </si>
  <si>
    <t>MURO DE HORMIGON ARMADO  CON PIEDRA CHISPA Y MALLA ELECT 5.5 x 15 cm</t>
  </si>
  <si>
    <t>RELLENO MANUAL CON COMPACTADOR MEDIANO</t>
  </si>
  <si>
    <t>CONTRAPISO DE 210Kg/cm2, 0,085 mt. Con malla elect. 5x15</t>
  </si>
  <si>
    <t>VIGAS DE CUBIERTA DE PLANTA BAJA</t>
  </si>
  <si>
    <t>PILARETES 10 x 20 H.A.</t>
  </si>
  <si>
    <t xml:space="preserve">DINTELES </t>
  </si>
  <si>
    <t>ENLUCIDO INTERIOR</t>
  </si>
  <si>
    <t>CUADRADA DE BOQUETES DE PUERTAS</t>
  </si>
  <si>
    <t>CUADRADA DE BOQUETES DE VENTANAS</t>
  </si>
  <si>
    <t>FILOS</t>
  </si>
  <si>
    <t>ESTRUCTURA METALICA PARA CUBIERTA</t>
  </si>
  <si>
    <t>CUBIERTA DE STEEL PANEL (espesor = 0,30 )</t>
  </si>
  <si>
    <t>HORMIGON DE ACERA PALETEADO DE 0,10 M, DE 210Kg/cm2</t>
  </si>
  <si>
    <t>PISO DE BALDOSA DE GRANITO CON JUNTAS RESINADAS</t>
  </si>
  <si>
    <t>CERAMICA DE PARED ACABADO TIPO 3</t>
  </si>
  <si>
    <t xml:space="preserve">PUERTA DE LAUREL Y MDF. 70 - 80 CM BAT.JAMBA Y CERRAD. </t>
  </si>
  <si>
    <t>EMPASTE INTERIOR Y EXTERIOR</t>
  </si>
  <si>
    <t>PINTURA INTERIOR</t>
  </si>
  <si>
    <t>TAPAS METALICAS TOOL ANTIDESLIZANTE (3mm)  50 x 60</t>
  </si>
  <si>
    <t>VENTANA DE ALUMINIO Y VIDRIO  6 mm</t>
  </si>
  <si>
    <t>PUERTA CORREDIZA-ABATIBLE  DE AL/VID 6 mm</t>
  </si>
  <si>
    <t>TAPAS DE H.A. CON MARCO Y CONTRAMARCO METALICO e= 5 cm</t>
  </si>
  <si>
    <t>PARRILLAS METALICAS 0,35 - 0,45 mts</t>
  </si>
  <si>
    <t xml:space="preserve">BASE H.A. f´c 240 kg/cm2 PARA RECONECT.- DISYUNT.-CUADRO 69 KV-TC-TP-INT.  </t>
  </si>
  <si>
    <t>CAJA DE REVISION H.A . 0,50 x 0,50 int. H= 0,40 a 1,00 mt</t>
  </si>
  <si>
    <t>TENDIDO TUBERIA PESADA PVC 110 MM  inc. Recubrimiento con arena</t>
  </si>
  <si>
    <t>CISTERNA H.A. e pared= 12 cm   e piso y losa = 15 cm</t>
  </si>
  <si>
    <t>PROVISION E INSTALACION DE EQUIPO HIDRONEUMATICO  1/2 HP.- 40 Gln.</t>
  </si>
  <si>
    <t>ACOMETIDA DE AGUA POTABLE</t>
  </si>
  <si>
    <t>PUNTO DE AGUA FRIA</t>
  </si>
  <si>
    <t>TUBERIA DE AA. PP. 1/2 PULG.</t>
  </si>
  <si>
    <t>TUBERIA DE AA. PP. 3/4 PULG.</t>
  </si>
  <si>
    <t>TUBERIA DE AA. PP. 1 PULG.</t>
  </si>
  <si>
    <t>PUNTO DE AGUA SERVIDA</t>
  </si>
  <si>
    <t>PUNTO DE VENTILACION 2 PULG.</t>
  </si>
  <si>
    <t>PIEZAS SANITARIAS TIPO ECONOMICA</t>
  </si>
  <si>
    <t>PUNTO DE ALUMBRADO</t>
  </si>
  <si>
    <t>PUNTO DE TOMACORRIENTE DE 110 V.</t>
  </si>
  <si>
    <t>PUNTO DE TOMACORRIENTE DE 220 V.</t>
  </si>
  <si>
    <t>ILUMINACION FLUORESCENTE 3 X 20</t>
  </si>
  <si>
    <t>INSTALACION DE PANEL DE DISTRIBUCION  PRINCIPAL TRIF. USO EXTERIOR</t>
  </si>
  <si>
    <t>INSTALACION DE PANEL DE DISTRIBUCION CORRIENTE CONTINUA BDC</t>
  </si>
  <si>
    <t>INSTALACION DE PANEL DE DISTRIBUCION   12 - 24 S. GENERALES TRIF.</t>
  </si>
  <si>
    <t>INSTALACION DE PANEL DE DISTRIBUCION   24 - 42 S. AUXILIARES TRIF.</t>
  </si>
  <si>
    <t xml:space="preserve">  </t>
  </si>
  <si>
    <t>EXCAVACION Y DESALOJO A MAQUINA DEL PROYECTO</t>
  </si>
  <si>
    <t>RELLENO , COMPACTACION CON MAQUINA DEL PROYECTO</t>
  </si>
  <si>
    <t>BORDILLOS DE H. SIMPLE 0,20 MH (ACERA) 210KG/CM2</t>
  </si>
  <si>
    <t>OBRAS COMPLEMENTARIAS</t>
  </si>
  <si>
    <t>RELLENO DE PATIO DE EQUIPOS ( PIEDRA 4 )</t>
  </si>
  <si>
    <t>CAMARA SEPTICA</t>
  </si>
  <si>
    <t>GLOBAL</t>
  </si>
  <si>
    <t>EXCAVACION Y DESALOJO A MAQUINA  (MALLA DE PUESTA A TIERRA)</t>
  </si>
  <si>
    <t>RELLENO , COMPACTACION CON MAQUINA  ( MALLA DE PUESTA A TIERRA )</t>
  </si>
  <si>
    <t>BORDILLOS DE H. SIMPLE 0,20 MH (PATIO DE EQUIPOS) 210KG/CM2</t>
  </si>
  <si>
    <t>CERRAMIENTO PERIMETRAL INTERIOR ( Malla Galvanizada ) h = 1,50 m DESMONTABLE</t>
  </si>
  <si>
    <t>PILARES DE PLANTA BAJA 20 x 20</t>
  </si>
  <si>
    <t xml:space="preserve">PAREDES INT-EXT. con bloques de hormigon PL9 </t>
  </si>
  <si>
    <t>BORDILLOS DE H. SIMPLE 0,20 MH (ACERAS) 210KG/CM2</t>
  </si>
  <si>
    <t>ENLUCIDO INTERIOR CISTERNA</t>
  </si>
  <si>
    <t>PILARES DE PLANTA BAJA 30 x 30</t>
  </si>
  <si>
    <t>RIOSTRAS H.A. 20 x 30</t>
  </si>
  <si>
    <t>COSTO UNIT.</t>
  </si>
  <si>
    <t>MEDICION DE RESISTIVIDAD DE SUELOS Y PRUEBAS</t>
  </si>
  <si>
    <t>N</t>
  </si>
  <si>
    <t>MALLA PUESTA A TIERRA</t>
  </si>
  <si>
    <t>PERFORACION DE POZO DE AGUA DULCE SUBTERRANEA</t>
  </si>
  <si>
    <t xml:space="preserve">CERAMICA DE PARED </t>
  </si>
  <si>
    <t>PROVISION E INSTALACION DE EQUIPO DE CLIMATIZACION 24,000 BTU.</t>
  </si>
  <si>
    <t>PROVISION E INSTALACION DE EXTRACTOR DE AIRE PARA PARED</t>
  </si>
  <si>
    <t>CARGA, TRANSPORTE Y DESCARGA DE EQUIPOS</t>
  </si>
  <si>
    <t>Glb</t>
  </si>
  <si>
    <t>RECONECTADORES 13,8 KV.</t>
  </si>
  <si>
    <t>SECCIONADOR TANDEM MONOPOLAR 13,8 KV 600 AMP.</t>
  </si>
  <si>
    <t>SECCIONADOR TIPO CUCHILLA MONOPOLAR 13,8 KV. 600 AMP.</t>
  </si>
  <si>
    <t>SECCIONADOR TANDEM MONOPOLAR 13,8 KV 1200 AMP.</t>
  </si>
  <si>
    <t>SECCIONADOR TIPO CUCHILLA MONOPOLAR 13,8 KV. 1200 AMP.</t>
  </si>
  <si>
    <t xml:space="preserve">TRASLADO DE EQUIPOS  DE BODEGA DE DURAN A SUBESTACION EL ROSARIO DE CNEL EP-GLR. </t>
  </si>
  <si>
    <t>PERFIL METALICO TIPO "C" DE 3"X4"X3"X3/8"X5.28 m.</t>
  </si>
  <si>
    <t>PERFIL METALICO TIPO "C" DE 3"X4"X3"X3/8"X4.80 m.</t>
  </si>
  <si>
    <t>TC, TP DE 15 KV</t>
  </si>
  <si>
    <t>TRANFORMADOR PADMOUNTED 50KVA</t>
  </si>
  <si>
    <t>SUMINISTRO  DE POSTE DE H.A. DE 11 mts. X 500 Kg. C.R.</t>
  </si>
  <si>
    <t>TRANSPORTE Y EREGIDA DE POSTE DE H.A. DE 11 mts. X 500 Kg. C.R.</t>
  </si>
  <si>
    <t>ARMADO DE CUADRO AEREO A 13.8 KV INCLUYE BARRAS E INSTALACION DE EQUIPOS.</t>
  </si>
  <si>
    <t>Glb.</t>
  </si>
  <si>
    <t>RELLENO, COMPACTACION  Y NIVELACION DE TERRENO EN PARTE FRONTAL DE SUBESTACION.</t>
  </si>
  <si>
    <t xml:space="preserve">ESTABILIZACION DE MURO LATERAL SUBESTACIÒN. </t>
  </si>
  <si>
    <t>O</t>
  </si>
  <si>
    <t>P</t>
  </si>
  <si>
    <t>Q</t>
  </si>
  <si>
    <t xml:space="preserve">TRASLADO DE MATERIALES  DE BODEGA DE QUEVEDO A SUBESTACION EL ROSARIO DE CNEL EP-GLR. </t>
  </si>
  <si>
    <t>CELOSIAS DE HIERRO GALVANIZADO QUE CONFORMAN LA ESTRUCTURA METALICA PORTICO A 69 KV CON SU RESPECTIVA PERNERIA.</t>
  </si>
  <si>
    <t>IDENTIFICACIÓN DE SUBESTACION EN ALTO RELIEVE CON BLOQUE DE MAMPOSTERIA (incluye empaste y pintura)</t>
  </si>
  <si>
    <t>DEMOLICIONES EN GENERAL DE CERRAMIENTO EXISTENTE</t>
  </si>
  <si>
    <t>TOTAL SIN IVA</t>
  </si>
  <si>
    <t>USD$</t>
  </si>
  <si>
    <t>ml</t>
  </si>
  <si>
    <t>m2</t>
  </si>
  <si>
    <t>mes</t>
  </si>
  <si>
    <t>m3</t>
  </si>
  <si>
    <t>Jgo</t>
  </si>
  <si>
    <t>No.</t>
  </si>
  <si>
    <t xml:space="preserve">LIMPIEZA Y PINTADA DE TRANSFORMADOR DE PODER </t>
  </si>
  <si>
    <t>CONSTRUCCION DE CANAL AA.LL. CON TUBERIA DE HORMIGON 500 mm Y MUROS DE HORMIGON ARMADO EN LOS LADOS AL INGRESO DE LA SUBESTACIÒN.</t>
  </si>
  <si>
    <t>SEÑALETICA DE SEGURIDAD  INDUSTRIAL EN PISOS Y PAREDES.</t>
  </si>
  <si>
    <t>TUMBADO DE ASBESTO Y PERFIL METALICO ALUMINIO BLANCO</t>
  </si>
  <si>
    <t>TENDIDO TUBERIA PESADA ANILLADA PVC 110 MM  inc. Recubrimiento con arena</t>
  </si>
  <si>
    <t xml:space="preserve">TOTAL </t>
  </si>
  <si>
    <t>FISCALIZACION</t>
  </si>
  <si>
    <t>ADMINISTRACION</t>
  </si>
  <si>
    <t>IVA (12 %)</t>
  </si>
  <si>
    <t>TOTAL SE EL ROSARIO SIN IVA</t>
  </si>
  <si>
    <t>TOTAL SE EL ROSARIO CON IVA</t>
  </si>
  <si>
    <t>SUMINISTRO, TRANSPORTE E INSTALACIÒN DE INTERRUPTOR A 69 KV EN SF6 TIPO TANQUE VIVO</t>
  </si>
  <si>
    <t>SUMINISTRO, TRANSPORTE E INSTALACION DE TABLERO PARA PROTECCIÒN DE TRANSFORMADOR DE POTENCIA CON SU RELE Y ANUNCIADOR DE ALARMA.</t>
  </si>
  <si>
    <t>OK FINAL</t>
  </si>
  <si>
    <t>CODO PVC DE ALTA RESISTENCIA DE 6"</t>
  </si>
  <si>
    <t>PUNTAS TERMINALES TIPO EXTERIOR PARA CABLE AISLADO XLPE DE Cu. 500 MCM 15KV CON TERMINAL DE 2 PERFORACIONES NORMA NEMA.</t>
  </si>
  <si>
    <t>CONECTOR TUBULAR DE COMPRESION CON DOS PERFORACIONES NORMA NEMA, PARA CONDUCTOR ACAR 500 MCM.</t>
  </si>
  <si>
    <t>CARGA, TRANSPORTE Y DESCARGA DE  TRANSFORMADOR DE PODER 12/16 MVA  69/13,8 KV. ( DESDE S/E QUEVEDO SUR).</t>
  </si>
  <si>
    <t>EQUIPOS DE COMUNICACIÓN Y SCADA INCLUYE SU INSTALACION</t>
  </si>
  <si>
    <t xml:space="preserve">CONECTOR RANURAS PARALELAS PARA CONDUCTOR ACAR 500 MCM </t>
  </si>
  <si>
    <t xml:space="preserve">AISLADOR DE SUSPENSIÒN DE PORCELANA ANSI 52-1 </t>
  </si>
  <si>
    <t>PERNO PIN DE 5/8"</t>
  </si>
  <si>
    <t>TUBERIA PVC TIPO TDP ANILLADA DE 6" DE 4"X6 m.</t>
  </si>
  <si>
    <t>BANCO DE BATERIAS 120 V.</t>
  </si>
  <si>
    <t>CARGADOR DE BATERIAS</t>
  </si>
  <si>
    <t>TABLERO PARA CALIDAD DE PRODUCTO (1 ION MAESTRO Y 4 ESCLAVOS)</t>
  </si>
  <si>
    <t>PASTA PARA ALTA TENSION 0.5 Lbs.</t>
  </si>
  <si>
    <t>PUNTAS TERMINALES TIPO EXTERIOR PARA CABLE AISLADO XLPE DE Cu. No. 2 15KV CON TERMINAL DE 2 PERFORACIONES NORMA NEMA.</t>
  </si>
  <si>
    <t>Mts.</t>
  </si>
  <si>
    <t>AISLADOR TIPO PIN ANSI 55-5 DE PORCELANA</t>
  </si>
  <si>
    <t>PARARRAYO 12 KV TIPO ESTACION</t>
  </si>
  <si>
    <t>PARARRAYO 10 KV TIPO VALVULA CON ACCESORIOS</t>
  </si>
  <si>
    <t>GRAPA DE RETENCION PARA CONDUCTOR ACAR 500 MCM 25000lbs.</t>
  </si>
  <si>
    <t>PERNO TIPO MAQUINA DE H.G DE 1/2"X 3" CON 1T/1CT/2A.</t>
  </si>
  <si>
    <t>SECCIONADOR PORTAFUSIBLE TIPO ABIERTO 100A-15KV INCLUYE TIRAFUSIBLE 5A.</t>
  </si>
  <si>
    <t>CABLE DE CU AISLADO TIPO XLPE No. 2  PARA 15KV.</t>
  </si>
  <si>
    <t>PERFIL METALICO TIPO "L" DE 3"X3"X3/8"X5.28 m.</t>
  </si>
  <si>
    <t>PERFIL METALICO TIPO "L" DE 3"X3"X3/8"X4.80 m.</t>
  </si>
  <si>
    <t>PERNO TIPO OJO ROSCA CORRIDA DE H.G. DE 5/8"X10" CON 4T/1CT/4A</t>
  </si>
  <si>
    <t>PERNO TIPO OJO ROSCA CORRIDA DE H.G. DE 5/8"X12" CON 4T/1CT/4A</t>
  </si>
  <si>
    <t>PERNO TIPO MAQUINA ROSCA CORRIDA DE H.G. DE 5/8"X4" CON 1T/1CT/2A</t>
  </si>
  <si>
    <t>PERNO TIPO ROSCA CORRIDA DE H.G. DE 3/4"X11" CON 4T/2CT/4A.</t>
  </si>
  <si>
    <t>PERNO TIPO ROSCA CORRIDA DE H.G. DE 3/4"X14" CON 4T/2CT/4A.</t>
  </si>
  <si>
    <t>PERNO TIPO ROSCA CORRIDA DE H.G. DE 3/4"X18" CON 4T/2CT/4A</t>
  </si>
  <si>
    <t>TUBO EMT DE 1" X 3 Mts.</t>
  </si>
  <si>
    <t>CONECTOR EMT DE 1"</t>
  </si>
  <si>
    <t>UNION EMT DE 1"</t>
  </si>
  <si>
    <t>CAJA CONDULET TIPO T DE 1"</t>
  </si>
  <si>
    <t>CAJA CONDULET TIPO LB DE 1"</t>
  </si>
  <si>
    <t>Mts</t>
  </si>
  <si>
    <t>CABLE DE Cu. AISLADO No. 6 AWG.</t>
  </si>
  <si>
    <t>CABLE DE Cu. AISLADO TIPO XLPE 500 MCM. (BODEGA QUEVEDO)</t>
  </si>
  <si>
    <t>INSTALACION  Y CONEXIÓN DE CABLE XLPE 500 MCM 15KV EN ALIMENTADORAS</t>
  </si>
  <si>
    <t>ARMADO DE PORTICO METALICO A 69 KV E INSTALACION DE CADENAS DE RETENCIÒN, PARARRAYOS Y CONEXIÓN CON LINEA DE LLEGADA 69 KV.</t>
  </si>
  <si>
    <t>PARARRAYOS DE 60 KV TIPO ESTACION MCO 48KV POLIMERO CON CONTADOR DE DESCARGAS Y CONECTORES.</t>
  </si>
  <si>
    <t>INSTALACION CON CONEXIÓN UTILIZANDO CONECTORES DE COMPRESION DE COBRE</t>
  </si>
  <si>
    <t>CONECTOR DE Cu. PARA PUESTA A TIERRA DE EQUIPOS</t>
  </si>
  <si>
    <t xml:space="preserve">MONTAJE, CABLEADO DE FUERZA, CONTROL Y PROTECCION DE EQUIPOS Y PRUEBAS </t>
  </si>
  <si>
    <t>INSTALACION DE TUBERIA GALVANIZADA PARA LUMINARIAS</t>
  </si>
  <si>
    <t>INSTALACION DE TUBERIA PVC PESADA 1" CON SUS ACCESORIOS PARA CIRCUITOS DE LUMINARIAS</t>
  </si>
  <si>
    <t>INSTALACION DE LUMINARIAS, INCLUYE CABLE DE COBRE THHN CONCENTRICO 2X8 AWG, LAS LUMINARIAS ENTREGA LA EMPRESA.</t>
  </si>
  <si>
    <t>SUM. Y MONTAJE DE SECC. TRIPOLAR MANDO MANUAL, DE DOBLE APERT. LAT. SIN CUCH. P/TIERRA, MONTAJE HORIZONTAL/VERTICAL, INCLUYE CONECTORES. ENTRADA-SALIDA Y BYPASS.</t>
  </si>
  <si>
    <t xml:space="preserve">VARILLA COPPERWELD PUESTA TIERRA ALTA CAMADA 5/8"X10` </t>
  </si>
  <si>
    <t>CAJA DE REVISION H.A . 0,40 x 0,40 int. H= 0,40 a 0,5 mt, INCLUYE TAPA</t>
  </si>
  <si>
    <t>OBRAS ELECTRICAS</t>
  </si>
  <si>
    <t>R</t>
  </si>
  <si>
    <t>PRECIO REFERENCIAL</t>
  </si>
  <si>
    <t>CNEL EP GUAYAS-LOS RIOS</t>
  </si>
  <si>
    <t>CABLE DE CONTROL CONC.  APANTALLADO ANTIROEDORES (Cu. No. 2x12 AWG. )</t>
  </si>
  <si>
    <t>CABLE DE CONTROL CONC.  APANTALLADO ANTIROEDORES (Cu. No.  4x12 AWG)</t>
  </si>
  <si>
    <t>CABLE DE CONTROL CONC.  APANTALLADO ANTIROEDORES (Cu. No. 6x12 AWG).</t>
  </si>
  <si>
    <t>CABLE DE CONTROL CONC.  APANTALLADO ANTIROEDORES  (Cu. No. 4x10 AWG)</t>
  </si>
  <si>
    <t>CALCULOS DE VERIFICACION  MALLA  TIERRA A IMPLEMENTARSE</t>
  </si>
  <si>
    <t xml:space="preserve">PROYECTO  :  CONSTRUCCION FASE FINAL SUBESTACION  EL ROSARIO </t>
  </si>
  <si>
    <t xml:space="preserve">CORPORACION NACIONAL DE ELECTRICIDAD  CNEL </t>
  </si>
  <si>
    <t>IVA (14%)</t>
  </si>
  <si>
    <t>IVA (14 %)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</si>
</sst>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\ #,##0.00_);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p_t_a_-;\-* #,##0.00\ _p_t_a_-;_-* &quot;-&quot;??\ _p_t_a_-;_-@_-"/>
    <numFmt numFmtId="165" formatCode="_([$$-300A]\ * #,##0.00_);_([$$-300A]\ * \(#,##0.00\);_([$$-300A]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 applyAlignment="1">
      <alignment horizontal="center"/>
    </xf>
    <xf numFmtId="4" fontId="3" fillId="0" borderId="0" xfId="0" applyNumberFormat="1" applyFont="1"/>
    <xf numFmtId="0" fontId="3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3" fillId="0" borderId="3" xfId="0" applyNumberFormat="1" applyFont="1" applyBorder="1"/>
    <xf numFmtId="0" fontId="4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11" borderId="0" xfId="0" applyFill="1"/>
    <xf numFmtId="15" fontId="8" fillId="0" borderId="0" xfId="0" applyNumberFormat="1" applyFont="1"/>
    <xf numFmtId="0" fontId="0" fillId="14" borderId="0" xfId="0" applyFill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9" fillId="0" borderId="8" xfId="0" applyNumberFormat="1" applyFont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/>
    </xf>
    <xf numFmtId="0" fontId="9" fillId="2" borderId="29" xfId="0" applyNumberFormat="1" applyFont="1" applyFill="1" applyBorder="1"/>
    <xf numFmtId="7" fontId="9" fillId="2" borderId="29" xfId="2" applyNumberFormat="1" applyFont="1" applyFill="1" applyBorder="1"/>
    <xf numFmtId="4" fontId="9" fillId="2" borderId="29" xfId="2" applyNumberFormat="1" applyFont="1" applyFill="1" applyBorder="1" applyAlignment="1">
      <alignment horizontal="right"/>
    </xf>
    <xf numFmtId="3" fontId="10" fillId="0" borderId="10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left"/>
    </xf>
    <xf numFmtId="4" fontId="10" fillId="0" borderId="10" xfId="0" applyNumberFormat="1" applyFont="1" applyBorder="1" applyAlignment="1">
      <alignment horizontal="center"/>
    </xf>
    <xf numFmtId="164" fontId="10" fillId="0" borderId="10" xfId="1" applyNumberFormat="1" applyFont="1" applyBorder="1"/>
    <xf numFmtId="43" fontId="10" fillId="11" borderId="10" xfId="1" applyFont="1" applyFill="1" applyBorder="1" applyAlignment="1">
      <alignment horizontal="center"/>
    </xf>
    <xf numFmtId="4" fontId="10" fillId="0" borderId="10" xfId="0" applyNumberFormat="1" applyFont="1" applyBorder="1"/>
    <xf numFmtId="3" fontId="10" fillId="0" borderId="26" xfId="0" applyNumberFormat="1" applyFont="1" applyBorder="1" applyAlignment="1">
      <alignment horizontal="center"/>
    </xf>
    <xf numFmtId="4" fontId="10" fillId="0" borderId="26" xfId="0" applyNumberFormat="1" applyFont="1" applyBorder="1" applyAlignment="1">
      <alignment horizontal="left"/>
    </xf>
    <xf numFmtId="4" fontId="10" fillId="0" borderId="26" xfId="0" applyNumberFormat="1" applyFont="1" applyBorder="1" applyAlignment="1">
      <alignment horizontal="center"/>
    </xf>
    <xf numFmtId="164" fontId="10" fillId="0" borderId="26" xfId="1" applyNumberFormat="1" applyFont="1" applyBorder="1"/>
    <xf numFmtId="43" fontId="10" fillId="11" borderId="26" xfId="1" applyFont="1" applyFill="1" applyBorder="1" applyAlignment="1">
      <alignment horizontal="center"/>
    </xf>
    <xf numFmtId="4" fontId="10" fillId="0" borderId="26" xfId="0" applyNumberFormat="1" applyFont="1" applyBorder="1"/>
    <xf numFmtId="0" fontId="9" fillId="3" borderId="29" xfId="0" applyFont="1" applyFill="1" applyBorder="1" applyAlignment="1">
      <alignment horizontal="center"/>
    </xf>
    <xf numFmtId="0" fontId="9" fillId="3" borderId="29" xfId="0" applyNumberFormat="1" applyFont="1" applyFill="1" applyBorder="1"/>
    <xf numFmtId="165" fontId="9" fillId="3" borderId="29" xfId="2" applyNumberFormat="1" applyFont="1" applyFill="1" applyBorder="1"/>
    <xf numFmtId="39" fontId="9" fillId="3" borderId="29" xfId="2" applyNumberFormat="1" applyFont="1" applyFill="1" applyBorder="1"/>
    <xf numFmtId="164" fontId="10" fillId="0" borderId="10" xfId="1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left" wrapText="1"/>
    </xf>
    <xf numFmtId="4" fontId="10" fillId="0" borderId="10" xfId="0" applyNumberFormat="1" applyFont="1" applyBorder="1" applyAlignment="1">
      <alignment horizontal="center" vertical="center"/>
    </xf>
    <xf numFmtId="164" fontId="10" fillId="0" borderId="10" xfId="1" applyNumberFormat="1" applyFont="1" applyBorder="1" applyAlignment="1">
      <alignment vertical="center"/>
    </xf>
    <xf numFmtId="43" fontId="10" fillId="11" borderId="11" xfId="1" applyFont="1" applyFill="1" applyBorder="1" applyAlignment="1">
      <alignment horizontal="center" vertical="center"/>
    </xf>
    <xf numFmtId="4" fontId="10" fillId="0" borderId="10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/>
    </xf>
    <xf numFmtId="164" fontId="10" fillId="0" borderId="26" xfId="1" applyNumberFormat="1" applyFont="1" applyBorder="1" applyAlignment="1">
      <alignment vertical="center"/>
    </xf>
    <xf numFmtId="43" fontId="10" fillId="11" borderId="14" xfId="1" applyFont="1" applyFill="1" applyBorder="1" applyAlignment="1">
      <alignment horizontal="center" vertical="center"/>
    </xf>
    <xf numFmtId="4" fontId="10" fillId="0" borderId="26" xfId="0" applyNumberFormat="1" applyFont="1" applyBorder="1" applyAlignment="1">
      <alignment vertical="center"/>
    </xf>
    <xf numFmtId="0" fontId="9" fillId="4" borderId="29" xfId="0" applyFont="1" applyFill="1" applyBorder="1" applyAlignment="1">
      <alignment horizontal="center"/>
    </xf>
    <xf numFmtId="0" fontId="9" fillId="4" borderId="29" xfId="0" applyNumberFormat="1" applyFont="1" applyFill="1" applyBorder="1"/>
    <xf numFmtId="165" fontId="9" fillId="4" borderId="29" xfId="2" applyNumberFormat="1" applyFont="1" applyFill="1" applyBorder="1"/>
    <xf numFmtId="39" fontId="9" fillId="4" borderId="29" xfId="2" applyNumberFormat="1" applyFont="1" applyFill="1" applyBorder="1"/>
    <xf numFmtId="164" fontId="10" fillId="11" borderId="10" xfId="1" applyNumberFormat="1" applyFont="1" applyFill="1" applyBorder="1"/>
    <xf numFmtId="0" fontId="9" fillId="5" borderId="29" xfId="0" applyFont="1" applyFill="1" applyBorder="1" applyAlignment="1">
      <alignment horizontal="center"/>
    </xf>
    <xf numFmtId="0" fontId="9" fillId="5" borderId="29" xfId="0" applyNumberFormat="1" applyFont="1" applyFill="1" applyBorder="1"/>
    <xf numFmtId="165" fontId="9" fillId="5" borderId="29" xfId="2" applyNumberFormat="1" applyFont="1" applyFill="1" applyBorder="1"/>
    <xf numFmtId="39" fontId="9" fillId="5" borderId="29" xfId="2" applyNumberFormat="1" applyFont="1" applyFill="1" applyBorder="1"/>
    <xf numFmtId="0" fontId="9" fillId="6" borderId="29" xfId="0" applyFont="1" applyFill="1" applyBorder="1" applyAlignment="1">
      <alignment horizontal="center"/>
    </xf>
    <xf numFmtId="0" fontId="9" fillId="6" borderId="29" xfId="0" applyNumberFormat="1" applyFont="1" applyFill="1" applyBorder="1"/>
    <xf numFmtId="165" fontId="9" fillId="6" borderId="29" xfId="2" applyNumberFormat="1" applyFont="1" applyFill="1" applyBorder="1"/>
    <xf numFmtId="39" fontId="9" fillId="6" borderId="29" xfId="2" applyNumberFormat="1" applyFont="1" applyFill="1" applyBorder="1"/>
    <xf numFmtId="0" fontId="9" fillId="7" borderId="29" xfId="0" applyFont="1" applyFill="1" applyBorder="1" applyAlignment="1">
      <alignment horizontal="center"/>
    </xf>
    <xf numFmtId="0" fontId="9" fillId="7" borderId="29" xfId="0" applyNumberFormat="1" applyFont="1" applyFill="1" applyBorder="1"/>
    <xf numFmtId="165" fontId="9" fillId="7" borderId="29" xfId="2" applyNumberFormat="1" applyFont="1" applyFill="1" applyBorder="1"/>
    <xf numFmtId="39" fontId="9" fillId="7" borderId="29" xfId="2" applyNumberFormat="1" applyFont="1" applyFill="1" applyBorder="1"/>
    <xf numFmtId="0" fontId="9" fillId="8" borderId="29" xfId="0" applyFont="1" applyFill="1" applyBorder="1" applyAlignment="1">
      <alignment horizontal="center"/>
    </xf>
    <xf numFmtId="0" fontId="9" fillId="8" borderId="29" xfId="0" applyNumberFormat="1" applyFont="1" applyFill="1" applyBorder="1"/>
    <xf numFmtId="165" fontId="9" fillId="8" borderId="29" xfId="2" applyNumberFormat="1" applyFont="1" applyFill="1" applyBorder="1"/>
    <xf numFmtId="39" fontId="9" fillId="8" borderId="29" xfId="2" applyNumberFormat="1" applyFont="1" applyFill="1" applyBorder="1"/>
    <xf numFmtId="0" fontId="9" fillId="9" borderId="29" xfId="0" applyFont="1" applyFill="1" applyBorder="1" applyAlignment="1">
      <alignment horizontal="center"/>
    </xf>
    <xf numFmtId="0" fontId="9" fillId="9" borderId="29" xfId="0" applyNumberFormat="1" applyFont="1" applyFill="1" applyBorder="1"/>
    <xf numFmtId="165" fontId="9" fillId="9" borderId="29" xfId="2" applyNumberFormat="1" applyFont="1" applyFill="1" applyBorder="1"/>
    <xf numFmtId="39" fontId="9" fillId="9" borderId="29" xfId="2" applyNumberFormat="1" applyFont="1" applyFill="1" applyBorder="1"/>
    <xf numFmtId="0" fontId="9" fillId="10" borderId="10" xfId="0" applyFont="1" applyFill="1" applyBorder="1" applyAlignment="1">
      <alignment horizontal="center"/>
    </xf>
    <xf numFmtId="0" fontId="9" fillId="10" borderId="10" xfId="0" applyNumberFormat="1" applyFont="1" applyFill="1" applyBorder="1"/>
    <xf numFmtId="165" fontId="9" fillId="10" borderId="10" xfId="2" applyNumberFormat="1" applyFont="1" applyFill="1" applyBorder="1"/>
    <xf numFmtId="39" fontId="9" fillId="10" borderId="10" xfId="2" applyNumberFormat="1" applyFont="1" applyFill="1" applyBorder="1"/>
    <xf numFmtId="0" fontId="9" fillId="4" borderId="10" xfId="0" applyFont="1" applyFill="1" applyBorder="1" applyAlignment="1">
      <alignment horizontal="center"/>
    </xf>
    <xf numFmtId="0" fontId="9" fillId="4" borderId="10" xfId="0" applyNumberFormat="1" applyFont="1" applyFill="1" applyBorder="1"/>
    <xf numFmtId="165" fontId="9" fillId="4" borderId="10" xfId="2" applyNumberFormat="1" applyFont="1" applyFill="1" applyBorder="1"/>
    <xf numFmtId="39" fontId="9" fillId="4" borderId="10" xfId="2" applyNumberFormat="1" applyFont="1" applyFill="1" applyBorder="1"/>
    <xf numFmtId="0" fontId="9" fillId="8" borderId="10" xfId="0" applyFont="1" applyFill="1" applyBorder="1" applyAlignment="1">
      <alignment horizontal="center"/>
    </xf>
    <xf numFmtId="0" fontId="9" fillId="8" borderId="10" xfId="0" applyNumberFormat="1" applyFont="1" applyFill="1" applyBorder="1"/>
    <xf numFmtId="165" fontId="9" fillId="8" borderId="10" xfId="2" applyNumberFormat="1" applyFont="1" applyFill="1" applyBorder="1"/>
    <xf numFmtId="39" fontId="9" fillId="8" borderId="10" xfId="2" applyNumberFormat="1" applyFont="1" applyFill="1" applyBorder="1"/>
    <xf numFmtId="43" fontId="10" fillId="11" borderId="10" xfId="1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/>
    </xf>
    <xf numFmtId="0" fontId="9" fillId="9" borderId="10" xfId="0" applyNumberFormat="1" applyFont="1" applyFill="1" applyBorder="1"/>
    <xf numFmtId="165" fontId="9" fillId="9" borderId="10" xfId="2" applyNumberFormat="1" applyFont="1" applyFill="1" applyBorder="1"/>
    <xf numFmtId="39" fontId="9" fillId="9" borderId="10" xfId="2" applyNumberFormat="1" applyFont="1" applyFill="1" applyBorder="1"/>
    <xf numFmtId="3" fontId="10" fillId="11" borderId="10" xfId="0" applyNumberFormat="1" applyFont="1" applyFill="1" applyBorder="1" applyAlignment="1">
      <alignment horizontal="center"/>
    </xf>
    <xf numFmtId="4" fontId="10" fillId="11" borderId="10" xfId="0" applyNumberFormat="1" applyFont="1" applyFill="1" applyBorder="1" applyAlignment="1">
      <alignment horizontal="left"/>
    </xf>
    <xf numFmtId="4" fontId="10" fillId="11" borderId="10" xfId="0" applyNumberFormat="1" applyFont="1" applyFill="1" applyBorder="1" applyAlignment="1">
      <alignment horizontal="center"/>
    </xf>
    <xf numFmtId="164" fontId="10" fillId="11" borderId="10" xfId="1" applyNumberFormat="1" applyFont="1" applyFill="1" applyBorder="1" applyAlignment="1">
      <alignment horizontal="center"/>
    </xf>
    <xf numFmtId="4" fontId="10" fillId="11" borderId="10" xfId="0" applyNumberFormat="1" applyFont="1" applyFill="1" applyBorder="1"/>
    <xf numFmtId="4" fontId="10" fillId="0" borderId="10" xfId="0" applyNumberFormat="1" applyFont="1" applyFill="1" applyBorder="1" applyAlignment="1">
      <alignment horizontal="left" vertical="center" wrapText="1"/>
    </xf>
    <xf numFmtId="4" fontId="10" fillId="0" borderId="10" xfId="0" applyNumberFormat="1" applyFont="1" applyFill="1" applyBorder="1" applyAlignment="1">
      <alignment horizontal="center" vertical="center"/>
    </xf>
    <xf numFmtId="164" fontId="10" fillId="0" borderId="10" xfId="1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horizontal="left"/>
    </xf>
    <xf numFmtId="4" fontId="10" fillId="0" borderId="10" xfId="0" applyNumberFormat="1" applyFont="1" applyFill="1" applyBorder="1" applyAlignment="1">
      <alignment horizontal="center"/>
    </xf>
    <xf numFmtId="164" fontId="10" fillId="0" borderId="10" xfId="1" applyNumberFormat="1" applyFont="1" applyFill="1" applyBorder="1"/>
    <xf numFmtId="43" fontId="10" fillId="11" borderId="11" xfId="1" applyFont="1" applyFill="1" applyBorder="1" applyAlignment="1">
      <alignment horizontal="center"/>
    </xf>
    <xf numFmtId="4" fontId="10" fillId="0" borderId="10" xfId="0" applyNumberFormat="1" applyFont="1" applyFill="1" applyBorder="1" applyAlignment="1">
      <alignment horizontal="left" wrapText="1"/>
    </xf>
    <xf numFmtId="4" fontId="10" fillId="11" borderId="10" xfId="0" applyNumberFormat="1" applyFont="1" applyFill="1" applyBorder="1" applyAlignment="1">
      <alignment horizontal="left" vertical="center" wrapText="1"/>
    </xf>
    <xf numFmtId="4" fontId="10" fillId="11" borderId="10" xfId="0" applyNumberFormat="1" applyFont="1" applyFill="1" applyBorder="1" applyAlignment="1">
      <alignment horizontal="center" vertical="center"/>
    </xf>
    <xf numFmtId="164" fontId="10" fillId="11" borderId="10" xfId="1" applyNumberFormat="1" applyFont="1" applyFill="1" applyBorder="1" applyAlignment="1">
      <alignment vertical="center"/>
    </xf>
    <xf numFmtId="4" fontId="10" fillId="0" borderId="10" xfId="0" applyNumberFormat="1" applyFont="1" applyBorder="1" applyAlignment="1">
      <alignment horizontal="left" vertical="center" wrapText="1"/>
    </xf>
    <xf numFmtId="0" fontId="9" fillId="15" borderId="10" xfId="0" applyNumberFormat="1" applyFont="1" applyFill="1" applyBorder="1" applyAlignment="1">
      <alignment horizontal="center" vertical="center"/>
    </xf>
    <xf numFmtId="0" fontId="9" fillId="15" borderId="10" xfId="0" applyNumberFormat="1" applyFont="1" applyFill="1" applyBorder="1"/>
    <xf numFmtId="4" fontId="10" fillId="11" borderId="10" xfId="0" applyNumberFormat="1" applyFont="1" applyFill="1" applyBorder="1" applyAlignment="1">
      <alignment horizontal="left" wrapText="1"/>
    </xf>
    <xf numFmtId="4" fontId="10" fillId="11" borderId="10" xfId="0" applyNumberFormat="1" applyFont="1" applyFill="1" applyBorder="1" applyAlignment="1">
      <alignment vertical="center"/>
    </xf>
    <xf numFmtId="3" fontId="10" fillId="12" borderId="10" xfId="0" applyNumberFormat="1" applyFont="1" applyFill="1" applyBorder="1" applyAlignment="1">
      <alignment horizontal="center"/>
    </xf>
    <xf numFmtId="0" fontId="9" fillId="12" borderId="10" xfId="0" applyNumberFormat="1" applyFont="1" applyFill="1" applyBorder="1" applyAlignment="1">
      <alignment wrapText="1"/>
    </xf>
    <xf numFmtId="4" fontId="11" fillId="12" borderId="10" xfId="0" applyNumberFormat="1" applyFont="1" applyFill="1" applyBorder="1"/>
    <xf numFmtId="3" fontId="10" fillId="13" borderId="10" xfId="0" applyNumberFormat="1" applyFont="1" applyFill="1" applyBorder="1" applyAlignment="1">
      <alignment horizontal="center" vertical="center"/>
    </xf>
    <xf numFmtId="0" fontId="9" fillId="13" borderId="10" xfId="0" applyNumberFormat="1" applyFont="1" applyFill="1" applyBorder="1" applyAlignment="1">
      <alignment wrapText="1"/>
    </xf>
    <xf numFmtId="4" fontId="11" fillId="13" borderId="10" xfId="0" applyNumberFormat="1" applyFont="1" applyFill="1" applyBorder="1" applyAlignment="1">
      <alignment vertical="center"/>
    </xf>
    <xf numFmtId="4" fontId="12" fillId="13" borderId="10" xfId="0" applyNumberFormat="1" applyFont="1" applyFill="1" applyBorder="1" applyAlignment="1">
      <alignment vertical="center"/>
    </xf>
    <xf numFmtId="43" fontId="10" fillId="11" borderId="11" xfId="1" applyFont="1" applyFill="1" applyBorder="1" applyAlignment="1">
      <alignment horizontal="right" vertical="center"/>
    </xf>
    <xf numFmtId="4" fontId="10" fillId="0" borderId="10" xfId="0" applyNumberFormat="1" applyFont="1" applyBorder="1" applyAlignment="1">
      <alignment horizontal="right" vertical="center"/>
    </xf>
    <xf numFmtId="3" fontId="10" fillId="0" borderId="27" xfId="0" applyNumberFormat="1" applyFont="1" applyBorder="1" applyAlignment="1">
      <alignment horizontal="center" vertical="center"/>
    </xf>
    <xf numFmtId="4" fontId="10" fillId="11" borderId="27" xfId="0" applyNumberFormat="1" applyFont="1" applyFill="1" applyBorder="1" applyAlignment="1">
      <alignment horizontal="left" wrapText="1"/>
    </xf>
    <xf numFmtId="4" fontId="10" fillId="0" borderId="27" xfId="0" applyNumberFormat="1" applyFont="1" applyBorder="1" applyAlignment="1">
      <alignment horizontal="center" vertical="center"/>
    </xf>
    <xf numFmtId="164" fontId="10" fillId="11" borderId="27" xfId="1" applyNumberFormat="1" applyFont="1" applyFill="1" applyBorder="1"/>
    <xf numFmtId="43" fontId="10" fillId="11" borderId="28" xfId="1" applyFont="1" applyFill="1" applyBorder="1" applyAlignment="1">
      <alignment horizontal="right" vertical="center"/>
    </xf>
    <xf numFmtId="4" fontId="10" fillId="0" borderId="27" xfId="0" applyNumberFormat="1" applyFont="1" applyBorder="1" applyAlignment="1">
      <alignment horizontal="right" vertical="center"/>
    </xf>
    <xf numFmtId="3" fontId="10" fillId="0" borderId="7" xfId="0" applyNumberFormat="1" applyFont="1" applyBorder="1" applyAlignment="1">
      <alignment horizontal="center" vertical="center"/>
    </xf>
    <xf numFmtId="164" fontId="10" fillId="0" borderId="8" xfId="1" applyNumberFormat="1" applyFont="1" applyBorder="1" applyAlignment="1">
      <alignment vertical="center"/>
    </xf>
    <xf numFmtId="43" fontId="9" fillId="0" borderId="7" xfId="1" applyFont="1" applyBorder="1" applyAlignment="1">
      <alignment horizontal="right"/>
    </xf>
    <xf numFmtId="4" fontId="11" fillId="0" borderId="4" xfId="0" applyNumberFormat="1" applyFont="1" applyBorder="1"/>
    <xf numFmtId="4" fontId="9" fillId="0" borderId="8" xfId="0" applyNumberFormat="1" applyFont="1" applyBorder="1" applyAlignment="1">
      <alignment horizontal="center" wrapText="1"/>
    </xf>
    <xf numFmtId="43" fontId="9" fillId="0" borderId="8" xfId="1" applyFont="1" applyBorder="1" applyAlignment="1">
      <alignment horizontal="right"/>
    </xf>
    <xf numFmtId="0" fontId="13" fillId="0" borderId="7" xfId="0" applyFont="1" applyBorder="1"/>
    <xf numFmtId="0" fontId="13" fillId="0" borderId="8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12" xfId="0" applyFont="1" applyBorder="1"/>
    <xf numFmtId="4" fontId="9" fillId="0" borderId="16" xfId="0" applyNumberFormat="1" applyFont="1" applyBorder="1" applyAlignment="1">
      <alignment horizontal="center" vertical="center" wrapText="1"/>
    </xf>
    <xf numFmtId="0" fontId="13" fillId="0" borderId="16" xfId="0" applyFont="1" applyBorder="1"/>
    <xf numFmtId="43" fontId="9" fillId="0" borderId="23" xfId="1" applyFont="1" applyBorder="1" applyAlignment="1">
      <alignment horizontal="right"/>
    </xf>
    <xf numFmtId="4" fontId="11" fillId="12" borderId="5" xfId="0" applyNumberFormat="1" applyFont="1" applyFill="1" applyBorder="1"/>
    <xf numFmtId="0" fontId="13" fillId="0" borderId="17" xfId="0" applyFont="1" applyBorder="1"/>
    <xf numFmtId="4" fontId="9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/>
    <xf numFmtId="43" fontId="9" fillId="0" borderId="15" xfId="1" applyFont="1" applyBorder="1" applyAlignment="1">
      <alignment horizontal="right"/>
    </xf>
    <xf numFmtId="4" fontId="11" fillId="0" borderId="24" xfId="0" applyNumberFormat="1" applyFont="1" applyBorder="1"/>
    <xf numFmtId="43" fontId="9" fillId="0" borderId="22" xfId="1" applyFont="1" applyBorder="1" applyAlignment="1">
      <alignment horizontal="right"/>
    </xf>
    <xf numFmtId="4" fontId="11" fillId="0" borderId="9" xfId="0" applyNumberFormat="1" applyFont="1" applyBorder="1"/>
    <xf numFmtId="0" fontId="13" fillId="0" borderId="13" xfId="0" applyFont="1" applyBorder="1"/>
    <xf numFmtId="4" fontId="9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/>
    <xf numFmtId="43" fontId="9" fillId="0" borderId="18" xfId="1" applyFont="1" applyBorder="1" applyAlignment="1">
      <alignment horizontal="right"/>
    </xf>
    <xf numFmtId="4" fontId="11" fillId="0" borderId="6" xfId="0" applyNumberFormat="1" applyFont="1" applyBorder="1"/>
    <xf numFmtId="4" fontId="9" fillId="0" borderId="0" xfId="0" applyNumberFormat="1" applyFont="1" applyBorder="1" applyAlignment="1">
      <alignment horizontal="center" vertical="center" wrapText="1"/>
    </xf>
    <xf numFmtId="43" fontId="9" fillId="0" borderId="25" xfId="1" applyFont="1" applyBorder="1" applyAlignment="1">
      <alignment horizontal="right"/>
    </xf>
    <xf numFmtId="4" fontId="10" fillId="0" borderId="19" xfId="0" applyNumberFormat="1" applyFont="1" applyBorder="1" applyAlignment="1">
      <alignment horizontal="left"/>
    </xf>
    <xf numFmtId="4" fontId="9" fillId="0" borderId="20" xfId="0" applyNumberFormat="1" applyFont="1" applyBorder="1" applyAlignment="1">
      <alignment horizontal="center" vertical="center" wrapText="1"/>
    </xf>
    <xf numFmtId="0" fontId="13" fillId="0" borderId="20" xfId="0" applyFont="1" applyBorder="1"/>
    <xf numFmtId="43" fontId="9" fillId="0" borderId="20" xfId="1" applyFont="1" applyBorder="1" applyAlignment="1">
      <alignment horizontal="right"/>
    </xf>
    <xf numFmtId="4" fontId="11" fillId="0" borderId="21" xfId="0" applyNumberFormat="1" applyFont="1" applyBorder="1"/>
    <xf numFmtId="43" fontId="0" fillId="0" borderId="0" xfId="0" applyNumberFormat="1"/>
    <xf numFmtId="4" fontId="10" fillId="11" borderId="2" xfId="0" applyNumberFormat="1" applyFont="1" applyFill="1" applyBorder="1" applyAlignment="1">
      <alignment horizontal="left" wrapText="1"/>
    </xf>
    <xf numFmtId="0" fontId="9" fillId="13" borderId="10" xfId="0" applyNumberFormat="1" applyFont="1" applyFill="1" applyBorder="1" applyAlignment="1">
      <alignment vertical="center" wrapText="1"/>
    </xf>
    <xf numFmtId="4" fontId="9" fillId="15" borderId="10" xfId="0" applyNumberFormat="1" applyFont="1" applyFill="1" applyBorder="1"/>
    <xf numFmtId="4" fontId="8" fillId="0" borderId="0" xfId="0" applyNumberFormat="1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/>
    <xf numFmtId="4" fontId="6" fillId="0" borderId="0" xfId="0" applyNumberFormat="1" applyFont="1" applyAlignment="1">
      <alignment horizontal="right"/>
    </xf>
    <xf numFmtId="4" fontId="10" fillId="0" borderId="10" xfId="0" applyNumberFormat="1" applyFont="1" applyBorder="1" applyAlignment="1">
      <alignment horizontal="center" wrapText="1"/>
    </xf>
    <xf numFmtId="4" fontId="10" fillId="0" borderId="26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wrapText="1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5"/>
  <sheetViews>
    <sheetView showGridLines="0" tabSelected="1" topLeftCell="A246" zoomScale="80" zoomScaleNormal="80" zoomScalePageLayoutView="80" workbookViewId="0">
      <selection activeCell="N257" sqref="N257"/>
    </sheetView>
  </sheetViews>
  <sheetFormatPr baseColWidth="10" defaultRowHeight="15" x14ac:dyDescent="0.25"/>
  <cols>
    <col min="1" max="1" width="3.7109375" customWidth="1"/>
    <col min="2" max="2" width="4.7109375" customWidth="1"/>
    <col min="3" max="3" width="58.140625" customWidth="1"/>
    <col min="4" max="4" width="10.42578125" bestFit="1" customWidth="1"/>
    <col min="5" max="5" width="17" customWidth="1"/>
    <col min="6" max="6" width="13" style="8" customWidth="1"/>
    <col min="7" max="7" width="15.28515625" customWidth="1"/>
  </cols>
  <sheetData>
    <row r="1" spans="2:7" x14ac:dyDescent="0.25">
      <c r="B1" s="8"/>
      <c r="C1" s="8"/>
      <c r="D1" s="8"/>
      <c r="E1" s="8"/>
      <c r="F1" s="10"/>
    </row>
    <row r="2" spans="2:7" ht="18.75" x14ac:dyDescent="0.3">
      <c r="B2" s="179" t="s">
        <v>235</v>
      </c>
      <c r="C2" s="179"/>
      <c r="D2" s="179"/>
      <c r="E2" s="179"/>
      <c r="F2" s="166"/>
      <c r="G2" s="167"/>
    </row>
    <row r="3" spans="2:7" ht="18.75" x14ac:dyDescent="0.3">
      <c r="B3" s="168"/>
      <c r="C3" s="179" t="s">
        <v>228</v>
      </c>
      <c r="D3" s="179"/>
      <c r="E3" s="179"/>
      <c r="F3" s="166"/>
      <c r="G3" s="167"/>
    </row>
    <row r="4" spans="2:7" ht="18.75" x14ac:dyDescent="0.3">
      <c r="B4" s="168"/>
      <c r="C4" s="179" t="s">
        <v>227</v>
      </c>
      <c r="D4" s="179"/>
      <c r="E4" s="179"/>
      <c r="F4" s="169"/>
      <c r="G4" s="167"/>
    </row>
    <row r="5" spans="2:7" ht="18.75" x14ac:dyDescent="0.3">
      <c r="B5" s="168"/>
      <c r="C5" s="170" t="s">
        <v>234</v>
      </c>
      <c r="D5" s="170"/>
      <c r="E5" s="170"/>
      <c r="F5" s="169"/>
      <c r="G5" s="167"/>
    </row>
    <row r="6" spans="2:7" ht="18.75" x14ac:dyDescent="0.3">
      <c r="B6" s="168"/>
      <c r="C6" s="171" t="s">
        <v>0</v>
      </c>
      <c r="D6" s="171"/>
      <c r="E6" s="169">
        <v>1962.22</v>
      </c>
      <c r="F6" s="166"/>
      <c r="G6" s="167"/>
    </row>
    <row r="7" spans="2:7" ht="20.25" customHeight="1" x14ac:dyDescent="0.3">
      <c r="B7" s="180" t="s">
        <v>1</v>
      </c>
      <c r="C7" s="180"/>
      <c r="D7" s="180"/>
      <c r="E7" s="180"/>
      <c r="F7" s="13"/>
      <c r="G7" s="167"/>
    </row>
    <row r="8" spans="2:7" ht="15" customHeight="1" thickBot="1" x14ac:dyDescent="0.3">
      <c r="B8" s="1"/>
      <c r="C8" s="2"/>
      <c r="D8" s="2"/>
      <c r="E8" s="2"/>
      <c r="F8" s="11"/>
    </row>
    <row r="9" spans="2:7" ht="15.75" customHeight="1" x14ac:dyDescent="0.25">
      <c r="B9" s="174" t="s">
        <v>160</v>
      </c>
      <c r="C9" s="3"/>
      <c r="D9" s="3"/>
      <c r="E9" s="3"/>
      <c r="F9" s="177" t="s">
        <v>120</v>
      </c>
      <c r="G9" s="4" t="s">
        <v>2</v>
      </c>
    </row>
    <row r="10" spans="2:7" ht="15.75" x14ac:dyDescent="0.25">
      <c r="B10" s="175"/>
      <c r="C10" s="5" t="s">
        <v>3</v>
      </c>
      <c r="D10" s="5" t="s">
        <v>5</v>
      </c>
      <c r="E10" s="5" t="s">
        <v>4</v>
      </c>
      <c r="F10" s="178"/>
      <c r="G10" s="5" t="s">
        <v>6</v>
      </c>
    </row>
    <row r="11" spans="2:7" ht="16.5" thickBot="1" x14ac:dyDescent="0.3">
      <c r="B11" s="176"/>
      <c r="C11" s="6"/>
      <c r="D11" s="7"/>
      <c r="E11" s="7"/>
      <c r="F11" s="7" t="s">
        <v>7</v>
      </c>
      <c r="G11" s="7" t="s">
        <v>7</v>
      </c>
    </row>
    <row r="12" spans="2:7" x14ac:dyDescent="0.25">
      <c r="B12" s="18" t="s">
        <v>8</v>
      </c>
      <c r="C12" s="19" t="s">
        <v>9</v>
      </c>
      <c r="D12" s="20"/>
      <c r="E12" s="20"/>
      <c r="F12" s="20"/>
      <c r="G12" s="21">
        <f>SUM(G13:G18)</f>
        <v>7208.2500000000009</v>
      </c>
    </row>
    <row r="13" spans="2:7" x14ac:dyDescent="0.25">
      <c r="B13" s="22">
        <v>1</v>
      </c>
      <c r="C13" s="23" t="s">
        <v>112</v>
      </c>
      <c r="D13" s="24" t="s">
        <v>155</v>
      </c>
      <c r="E13" s="25">
        <v>92</v>
      </c>
      <c r="F13" s="26">
        <v>17</v>
      </c>
      <c r="G13" s="27">
        <f t="shared" ref="G13:G18" si="0">ROUND(E13*F13,2)</f>
        <v>1564</v>
      </c>
    </row>
    <row r="14" spans="2:7" ht="28.5" customHeight="1" x14ac:dyDescent="0.25">
      <c r="B14" s="22">
        <v>2</v>
      </c>
      <c r="C14" s="40" t="s">
        <v>113</v>
      </c>
      <c r="D14" s="24" t="s">
        <v>155</v>
      </c>
      <c r="E14" s="25">
        <v>48</v>
      </c>
      <c r="F14" s="26">
        <v>47.57</v>
      </c>
      <c r="G14" s="27">
        <f t="shared" si="0"/>
        <v>2283.36</v>
      </c>
    </row>
    <row r="15" spans="2:7" x14ac:dyDescent="0.25">
      <c r="B15" s="22">
        <v>3</v>
      </c>
      <c r="C15" s="23" t="s">
        <v>37</v>
      </c>
      <c r="D15" s="24" t="s">
        <v>156</v>
      </c>
      <c r="E15" s="25">
        <v>48</v>
      </c>
      <c r="F15" s="26">
        <v>22</v>
      </c>
      <c r="G15" s="27">
        <f t="shared" si="0"/>
        <v>1056</v>
      </c>
    </row>
    <row r="16" spans="2:7" x14ac:dyDescent="0.25">
      <c r="B16" s="22">
        <v>4</v>
      </c>
      <c r="C16" s="23" t="s">
        <v>38</v>
      </c>
      <c r="D16" s="24" t="s">
        <v>157</v>
      </c>
      <c r="E16" s="25">
        <v>3</v>
      </c>
      <c r="F16" s="26">
        <v>201.6</v>
      </c>
      <c r="G16" s="27">
        <f t="shared" si="0"/>
        <v>604.79999999999995</v>
      </c>
    </row>
    <row r="17" spans="2:7" x14ac:dyDescent="0.25">
      <c r="B17" s="22">
        <v>5</v>
      </c>
      <c r="C17" s="23" t="s">
        <v>124</v>
      </c>
      <c r="D17" s="24" t="s">
        <v>129</v>
      </c>
      <c r="E17" s="25">
        <v>1</v>
      </c>
      <c r="F17" s="26">
        <v>1500</v>
      </c>
      <c r="G17" s="27">
        <f t="shared" si="0"/>
        <v>1500</v>
      </c>
    </row>
    <row r="18" spans="2:7" ht="15.75" thickBot="1" x14ac:dyDescent="0.3">
      <c r="B18" s="28">
        <v>6</v>
      </c>
      <c r="C18" s="29" t="s">
        <v>39</v>
      </c>
      <c r="D18" s="30" t="s">
        <v>5</v>
      </c>
      <c r="E18" s="31">
        <v>1</v>
      </c>
      <c r="F18" s="32">
        <v>200.09</v>
      </c>
      <c r="G18" s="33">
        <f t="shared" si="0"/>
        <v>200.09</v>
      </c>
    </row>
    <row r="19" spans="2:7" x14ac:dyDescent="0.25">
      <c r="B19" s="34" t="s">
        <v>10</v>
      </c>
      <c r="C19" s="35" t="s">
        <v>11</v>
      </c>
      <c r="D19" s="36"/>
      <c r="E19" s="36"/>
      <c r="F19" s="36"/>
      <c r="G19" s="37">
        <f>SUM(G20:G33)</f>
        <v>31372.759999999995</v>
      </c>
    </row>
    <row r="20" spans="2:7" x14ac:dyDescent="0.25">
      <c r="B20" s="22">
        <v>7</v>
      </c>
      <c r="C20" s="23" t="s">
        <v>40</v>
      </c>
      <c r="D20" s="24" t="s">
        <v>156</v>
      </c>
      <c r="E20" s="25">
        <f>ROUND((51.52+40.04+46.75+40.1)*1,2)</f>
        <v>178.41</v>
      </c>
      <c r="F20" s="26">
        <v>1.78</v>
      </c>
      <c r="G20" s="27">
        <f t="shared" ref="G20:G33" si="1">ROUND(E20*F20,2)</f>
        <v>317.57</v>
      </c>
    </row>
    <row r="21" spans="2:7" x14ac:dyDescent="0.25">
      <c r="B21" s="22">
        <v>8</v>
      </c>
      <c r="C21" s="23" t="s">
        <v>36</v>
      </c>
      <c r="D21" s="24" t="s">
        <v>158</v>
      </c>
      <c r="E21" s="38">
        <f>ROUND((19+18+13+12)*0.7*0.7*0.2,2)</f>
        <v>6.08</v>
      </c>
      <c r="F21" s="26">
        <v>14.14</v>
      </c>
      <c r="G21" s="27">
        <f t="shared" si="1"/>
        <v>85.97</v>
      </c>
    </row>
    <row r="22" spans="2:7" x14ac:dyDescent="0.25">
      <c r="B22" s="22">
        <v>9</v>
      </c>
      <c r="C22" s="23" t="s">
        <v>41</v>
      </c>
      <c r="D22" s="24" t="s">
        <v>158</v>
      </c>
      <c r="E22" s="38">
        <f>ROUND((19+18+13+12)*0.7*0.7*0.05,2)</f>
        <v>1.52</v>
      </c>
      <c r="F22" s="26">
        <v>134.1</v>
      </c>
      <c r="G22" s="27">
        <f t="shared" si="1"/>
        <v>203.83</v>
      </c>
    </row>
    <row r="23" spans="2:7" x14ac:dyDescent="0.25">
      <c r="B23" s="22">
        <v>10</v>
      </c>
      <c r="C23" s="23" t="s">
        <v>42</v>
      </c>
      <c r="D23" s="24" t="s">
        <v>158</v>
      </c>
      <c r="E23" s="38">
        <f>ROUND((19+18+13+12)*0.7*0.7*0.15,2)</f>
        <v>4.5599999999999996</v>
      </c>
      <c r="F23" s="26">
        <v>382.95</v>
      </c>
      <c r="G23" s="27">
        <f t="shared" si="1"/>
        <v>1746.25</v>
      </c>
    </row>
    <row r="24" spans="2:7" x14ac:dyDescent="0.25">
      <c r="B24" s="22">
        <v>11</v>
      </c>
      <c r="C24" s="23" t="s">
        <v>43</v>
      </c>
      <c r="D24" s="24" t="s">
        <v>155</v>
      </c>
      <c r="E24" s="25">
        <f>ROUND(E20-6-(62*0.2*0.2),2)</f>
        <v>169.93</v>
      </c>
      <c r="F24" s="26">
        <v>17.8</v>
      </c>
      <c r="G24" s="27">
        <f t="shared" si="1"/>
        <v>3024.75</v>
      </c>
    </row>
    <row r="25" spans="2:7" x14ac:dyDescent="0.25">
      <c r="B25" s="22">
        <v>12</v>
      </c>
      <c r="C25" s="23" t="s">
        <v>44</v>
      </c>
      <c r="D25" s="24" t="s">
        <v>158</v>
      </c>
      <c r="E25" s="25">
        <f>ROUND((E24+6)*0.2*0.2,2)</f>
        <v>7.04</v>
      </c>
      <c r="F25" s="26">
        <v>437.81</v>
      </c>
      <c r="G25" s="27">
        <f t="shared" si="1"/>
        <v>3082.18</v>
      </c>
    </row>
    <row r="26" spans="2:7" x14ac:dyDescent="0.25">
      <c r="B26" s="22">
        <v>13</v>
      </c>
      <c r="C26" s="23" t="s">
        <v>114</v>
      </c>
      <c r="D26" s="24" t="s">
        <v>158</v>
      </c>
      <c r="E26" s="25">
        <f>ROUND((62*0.2*0.2)*3,2)</f>
        <v>7.44</v>
      </c>
      <c r="F26" s="26">
        <v>610.16999999999996</v>
      </c>
      <c r="G26" s="27">
        <f t="shared" si="1"/>
        <v>4539.66</v>
      </c>
    </row>
    <row r="27" spans="2:7" x14ac:dyDescent="0.25">
      <c r="B27" s="22">
        <v>14</v>
      </c>
      <c r="C27" s="23" t="s">
        <v>46</v>
      </c>
      <c r="D27" s="24" t="s">
        <v>155</v>
      </c>
      <c r="E27" s="25">
        <f>ROUND(E20-6,2)</f>
        <v>172.41</v>
      </c>
      <c r="F27" s="26">
        <v>17</v>
      </c>
      <c r="G27" s="27">
        <f t="shared" si="1"/>
        <v>2930.97</v>
      </c>
    </row>
    <row r="28" spans="2:7" x14ac:dyDescent="0.25">
      <c r="B28" s="22">
        <v>15</v>
      </c>
      <c r="C28" s="23" t="s">
        <v>47</v>
      </c>
      <c r="D28" s="24" t="s">
        <v>156</v>
      </c>
      <c r="E28" s="25">
        <f>ROUND((E20-6-(66*0.2*0.2))*2.6,2)</f>
        <v>441.4</v>
      </c>
      <c r="F28" s="26">
        <v>19.149999999999999</v>
      </c>
      <c r="G28" s="27">
        <f t="shared" si="1"/>
        <v>8452.81</v>
      </c>
    </row>
    <row r="29" spans="2:7" x14ac:dyDescent="0.25">
      <c r="B29" s="22">
        <v>16</v>
      </c>
      <c r="C29" s="23" t="s">
        <v>48</v>
      </c>
      <c r="D29" s="24" t="s">
        <v>155</v>
      </c>
      <c r="E29" s="25">
        <f>ROUND(E20-6,2)</f>
        <v>172.41</v>
      </c>
      <c r="F29" s="26">
        <v>6.43</v>
      </c>
      <c r="G29" s="27">
        <f t="shared" si="1"/>
        <v>1108.5999999999999</v>
      </c>
    </row>
    <row r="30" spans="2:7" x14ac:dyDescent="0.25">
      <c r="B30" s="22">
        <v>17</v>
      </c>
      <c r="C30" s="23" t="s">
        <v>49</v>
      </c>
      <c r="D30" s="24" t="s">
        <v>156</v>
      </c>
      <c r="E30" s="25">
        <f>ROUND((E28*3)+(34.1*3),2)</f>
        <v>1426.5</v>
      </c>
      <c r="F30" s="26">
        <v>3.78</v>
      </c>
      <c r="G30" s="27">
        <f t="shared" si="1"/>
        <v>5392.17</v>
      </c>
    </row>
    <row r="31" spans="2:7" x14ac:dyDescent="0.25">
      <c r="B31" s="22">
        <v>18</v>
      </c>
      <c r="C31" s="23" t="s">
        <v>219</v>
      </c>
      <c r="D31" s="24" t="s">
        <v>5</v>
      </c>
      <c r="E31" s="25">
        <v>4</v>
      </c>
      <c r="F31" s="26">
        <v>30</v>
      </c>
      <c r="G31" s="27">
        <f t="shared" si="1"/>
        <v>120</v>
      </c>
    </row>
    <row r="32" spans="2:7" ht="27.75" customHeight="1" x14ac:dyDescent="0.25">
      <c r="B32" s="39">
        <v>19</v>
      </c>
      <c r="C32" s="40" t="s">
        <v>220</v>
      </c>
      <c r="D32" s="41" t="s">
        <v>155</v>
      </c>
      <c r="E32" s="42">
        <v>120</v>
      </c>
      <c r="F32" s="43">
        <v>1.5</v>
      </c>
      <c r="G32" s="44">
        <f t="shared" si="1"/>
        <v>180</v>
      </c>
    </row>
    <row r="33" spans="2:7" ht="15.75" thickBot="1" x14ac:dyDescent="0.3">
      <c r="B33" s="45">
        <v>20</v>
      </c>
      <c r="C33" s="29" t="s">
        <v>224</v>
      </c>
      <c r="D33" s="46" t="s">
        <v>5</v>
      </c>
      <c r="E33" s="47">
        <v>4</v>
      </c>
      <c r="F33" s="48">
        <v>47</v>
      </c>
      <c r="G33" s="49">
        <f t="shared" si="1"/>
        <v>188</v>
      </c>
    </row>
    <row r="34" spans="2:7" x14ac:dyDescent="0.25">
      <c r="B34" s="50" t="s">
        <v>12</v>
      </c>
      <c r="C34" s="51" t="s">
        <v>13</v>
      </c>
      <c r="D34" s="52"/>
      <c r="E34" s="52"/>
      <c r="F34" s="52"/>
      <c r="G34" s="53">
        <f>SUM(G35:G44)</f>
        <v>6573.4800000000005</v>
      </c>
    </row>
    <row r="35" spans="2:7" x14ac:dyDescent="0.25">
      <c r="B35" s="22">
        <v>21</v>
      </c>
      <c r="C35" s="23" t="s">
        <v>40</v>
      </c>
      <c r="D35" s="24" t="s">
        <v>156</v>
      </c>
      <c r="E35" s="25">
        <v>6.6</v>
      </c>
      <c r="F35" s="26">
        <v>1.78</v>
      </c>
      <c r="G35" s="27">
        <f t="shared" ref="G35:G44" si="2">ROUND(E35*F35,2)</f>
        <v>11.75</v>
      </c>
    </row>
    <row r="36" spans="2:7" x14ac:dyDescent="0.25">
      <c r="B36" s="22">
        <v>22</v>
      </c>
      <c r="C36" s="23" t="s">
        <v>50</v>
      </c>
      <c r="D36" s="24" t="s">
        <v>158</v>
      </c>
      <c r="E36" s="25">
        <f>ROUND(5.345,2)</f>
        <v>5.35</v>
      </c>
      <c r="F36" s="26">
        <v>7.87</v>
      </c>
      <c r="G36" s="27">
        <f t="shared" si="2"/>
        <v>42.1</v>
      </c>
    </row>
    <row r="37" spans="2:7" x14ac:dyDescent="0.25">
      <c r="B37" s="22">
        <v>23</v>
      </c>
      <c r="C37" s="23" t="s">
        <v>41</v>
      </c>
      <c r="D37" s="24" t="s">
        <v>158</v>
      </c>
      <c r="E37" s="25">
        <f>ROUND(1.2215,2)</f>
        <v>1.22</v>
      </c>
      <c r="F37" s="26">
        <v>134.1</v>
      </c>
      <c r="G37" s="27">
        <f t="shared" si="2"/>
        <v>163.6</v>
      </c>
    </row>
    <row r="38" spans="2:7" x14ac:dyDescent="0.25">
      <c r="B38" s="22">
        <v>24</v>
      </c>
      <c r="C38" s="23" t="s">
        <v>42</v>
      </c>
      <c r="D38" s="24" t="s">
        <v>158</v>
      </c>
      <c r="E38" s="25">
        <f>ROUND(0.676,2)</f>
        <v>0.68</v>
      </c>
      <c r="F38" s="26">
        <v>382.95</v>
      </c>
      <c r="G38" s="27">
        <f t="shared" si="2"/>
        <v>260.41000000000003</v>
      </c>
    </row>
    <row r="39" spans="2:7" x14ac:dyDescent="0.25">
      <c r="B39" s="22">
        <v>25</v>
      </c>
      <c r="C39" s="23" t="s">
        <v>119</v>
      </c>
      <c r="D39" s="24" t="s">
        <v>158</v>
      </c>
      <c r="E39" s="25">
        <v>0.6100000000000001</v>
      </c>
      <c r="F39" s="26">
        <v>437.81</v>
      </c>
      <c r="G39" s="27">
        <f t="shared" si="2"/>
        <v>267.06</v>
      </c>
    </row>
    <row r="40" spans="2:7" x14ac:dyDescent="0.25">
      <c r="B40" s="22">
        <v>26</v>
      </c>
      <c r="C40" s="23" t="s">
        <v>118</v>
      </c>
      <c r="D40" s="24" t="s">
        <v>158</v>
      </c>
      <c r="E40" s="25">
        <v>0.63</v>
      </c>
      <c r="F40" s="26">
        <v>610.16999999999996</v>
      </c>
      <c r="G40" s="27">
        <f t="shared" si="2"/>
        <v>384.41</v>
      </c>
    </row>
    <row r="41" spans="2:7" x14ac:dyDescent="0.25">
      <c r="B41" s="22">
        <v>27</v>
      </c>
      <c r="C41" s="23" t="s">
        <v>51</v>
      </c>
      <c r="D41" s="24" t="s">
        <v>156</v>
      </c>
      <c r="E41" s="25">
        <v>18</v>
      </c>
      <c r="F41" s="26">
        <v>57.02</v>
      </c>
      <c r="G41" s="27">
        <f t="shared" si="2"/>
        <v>1026.3599999999999</v>
      </c>
    </row>
    <row r="42" spans="2:7" x14ac:dyDescent="0.25">
      <c r="B42" s="22">
        <v>28</v>
      </c>
      <c r="C42" s="23" t="s">
        <v>52</v>
      </c>
      <c r="D42" s="24" t="s">
        <v>156</v>
      </c>
      <c r="E42" s="54">
        <v>120</v>
      </c>
      <c r="F42" s="26">
        <v>8.27</v>
      </c>
      <c r="G42" s="27">
        <f t="shared" si="2"/>
        <v>992.4</v>
      </c>
    </row>
    <row r="43" spans="2:7" x14ac:dyDescent="0.25">
      <c r="B43" s="22">
        <v>29</v>
      </c>
      <c r="C43" s="23" t="s">
        <v>53</v>
      </c>
      <c r="D43" s="24" t="s">
        <v>156</v>
      </c>
      <c r="E43" s="25">
        <v>21</v>
      </c>
      <c r="F43" s="26">
        <v>150</v>
      </c>
      <c r="G43" s="27">
        <f t="shared" si="2"/>
        <v>3150</v>
      </c>
    </row>
    <row r="44" spans="2:7" ht="15.75" thickBot="1" x14ac:dyDescent="0.3">
      <c r="B44" s="28">
        <v>30</v>
      </c>
      <c r="C44" s="29" t="s">
        <v>54</v>
      </c>
      <c r="D44" s="30" t="s">
        <v>156</v>
      </c>
      <c r="E44" s="31">
        <v>33.299999999999997</v>
      </c>
      <c r="F44" s="32">
        <v>8.27</v>
      </c>
      <c r="G44" s="33">
        <f t="shared" si="2"/>
        <v>275.39</v>
      </c>
    </row>
    <row r="45" spans="2:7" x14ac:dyDescent="0.25">
      <c r="B45" s="55" t="s">
        <v>14</v>
      </c>
      <c r="C45" s="56" t="s">
        <v>15</v>
      </c>
      <c r="D45" s="57"/>
      <c r="E45" s="57"/>
      <c r="F45" s="57"/>
      <c r="G45" s="58">
        <f>SUM(G46:G50)</f>
        <v>10095.91</v>
      </c>
    </row>
    <row r="46" spans="2:7" x14ac:dyDescent="0.25">
      <c r="B46" s="22">
        <v>31</v>
      </c>
      <c r="C46" s="23" t="s">
        <v>40</v>
      </c>
      <c r="D46" s="24" t="s">
        <v>156</v>
      </c>
      <c r="E46" s="25">
        <v>60.719999999999992</v>
      </c>
      <c r="F46" s="26">
        <v>1.78</v>
      </c>
      <c r="G46" s="27">
        <f>ROUND(E46*F46,2)</f>
        <v>108.08</v>
      </c>
    </row>
    <row r="47" spans="2:7" x14ac:dyDescent="0.25">
      <c r="B47" s="22">
        <v>32</v>
      </c>
      <c r="C47" s="23" t="s">
        <v>36</v>
      </c>
      <c r="D47" s="24" t="s">
        <v>158</v>
      </c>
      <c r="E47" s="25">
        <v>19.949999999999996</v>
      </c>
      <c r="F47" s="26">
        <v>14.14</v>
      </c>
      <c r="G47" s="27">
        <f>ROUND(E47*F47,2)</f>
        <v>282.08999999999997</v>
      </c>
    </row>
    <row r="48" spans="2:7" x14ac:dyDescent="0.25">
      <c r="B48" s="22">
        <v>33</v>
      </c>
      <c r="C48" s="23" t="s">
        <v>41</v>
      </c>
      <c r="D48" s="24" t="s">
        <v>158</v>
      </c>
      <c r="E48" s="25">
        <f>ROUND(2.626,2)</f>
        <v>2.63</v>
      </c>
      <c r="F48" s="26">
        <v>134.1</v>
      </c>
      <c r="G48" s="27">
        <f>ROUND(E48*F48,2)</f>
        <v>352.68</v>
      </c>
    </row>
    <row r="49" spans="2:7" ht="27.75" customHeight="1" x14ac:dyDescent="0.25">
      <c r="B49" s="22">
        <v>34</v>
      </c>
      <c r="C49" s="40" t="s">
        <v>55</v>
      </c>
      <c r="D49" s="24" t="s">
        <v>158</v>
      </c>
      <c r="E49" s="25">
        <v>18.46</v>
      </c>
      <c r="F49" s="26">
        <v>446.93</v>
      </c>
      <c r="G49" s="27">
        <f>ROUND(E49*F49,2)</f>
        <v>8250.33</v>
      </c>
    </row>
    <row r="50" spans="2:7" ht="15.75" thickBot="1" x14ac:dyDescent="0.3">
      <c r="B50" s="28">
        <v>35</v>
      </c>
      <c r="C50" s="29" t="s">
        <v>56</v>
      </c>
      <c r="D50" s="30" t="s">
        <v>156</v>
      </c>
      <c r="E50" s="31">
        <v>12.4</v>
      </c>
      <c r="F50" s="32">
        <v>88.93</v>
      </c>
      <c r="G50" s="33">
        <f>ROUND(E50*F50,2)</f>
        <v>1102.73</v>
      </c>
    </row>
    <row r="51" spans="2:7" x14ac:dyDescent="0.25">
      <c r="B51" s="59" t="s">
        <v>16</v>
      </c>
      <c r="C51" s="60" t="s">
        <v>17</v>
      </c>
      <c r="D51" s="61"/>
      <c r="E51" s="61"/>
      <c r="F51" s="61"/>
      <c r="G51" s="62">
        <f>SUM(G52:G87)</f>
        <v>24204.880000000005</v>
      </c>
    </row>
    <row r="52" spans="2:7" x14ac:dyDescent="0.25">
      <c r="B52" s="22">
        <v>36</v>
      </c>
      <c r="C52" s="23" t="s">
        <v>40</v>
      </c>
      <c r="D52" s="24" t="s">
        <v>156</v>
      </c>
      <c r="E52" s="25">
        <v>88</v>
      </c>
      <c r="F52" s="26">
        <v>1.78</v>
      </c>
      <c r="G52" s="27">
        <f t="shared" ref="G52:G87" si="3">ROUND(E52*F52,2)</f>
        <v>156.63999999999999</v>
      </c>
    </row>
    <row r="53" spans="2:7" x14ac:dyDescent="0.25">
      <c r="B53" s="22">
        <v>37</v>
      </c>
      <c r="C53" s="23" t="s">
        <v>50</v>
      </c>
      <c r="D53" s="24" t="s">
        <v>158</v>
      </c>
      <c r="E53" s="25">
        <f>ROUND(8.9325,2)</f>
        <v>8.93</v>
      </c>
      <c r="F53" s="26">
        <v>7.87</v>
      </c>
      <c r="G53" s="27">
        <f t="shared" si="3"/>
        <v>70.28</v>
      </c>
    </row>
    <row r="54" spans="2:7" x14ac:dyDescent="0.25">
      <c r="B54" s="22">
        <v>38</v>
      </c>
      <c r="C54" s="23" t="s">
        <v>41</v>
      </c>
      <c r="D54" s="24" t="s">
        <v>158</v>
      </c>
      <c r="E54" s="25">
        <f>ROUND(1.3475,2)</f>
        <v>1.35</v>
      </c>
      <c r="F54" s="26">
        <v>134.1</v>
      </c>
      <c r="G54" s="27">
        <f t="shared" si="3"/>
        <v>181.04</v>
      </c>
    </row>
    <row r="55" spans="2:7" x14ac:dyDescent="0.25">
      <c r="B55" s="22">
        <v>39</v>
      </c>
      <c r="C55" s="23" t="s">
        <v>42</v>
      </c>
      <c r="D55" s="24" t="s">
        <v>158</v>
      </c>
      <c r="E55" s="25">
        <f>ROUND(0.729,2)</f>
        <v>0.73</v>
      </c>
      <c r="F55" s="26">
        <v>382.95</v>
      </c>
      <c r="G55" s="27">
        <f t="shared" si="3"/>
        <v>279.55</v>
      </c>
    </row>
    <row r="56" spans="2:7" x14ac:dyDescent="0.25">
      <c r="B56" s="22">
        <v>40</v>
      </c>
      <c r="C56" s="23" t="s">
        <v>57</v>
      </c>
      <c r="D56" s="24" t="s">
        <v>158</v>
      </c>
      <c r="E56" s="25">
        <f>ROUND(0.324,2)</f>
        <v>0.32</v>
      </c>
      <c r="F56" s="26">
        <v>172.54</v>
      </c>
      <c r="G56" s="27">
        <f t="shared" si="3"/>
        <v>55.21</v>
      </c>
    </row>
    <row r="57" spans="2:7" x14ac:dyDescent="0.25">
      <c r="B57" s="22">
        <v>41</v>
      </c>
      <c r="C57" s="23" t="s">
        <v>44</v>
      </c>
      <c r="D57" s="24" t="s">
        <v>158</v>
      </c>
      <c r="E57" s="25">
        <f>ROUND(1.808,2)</f>
        <v>1.81</v>
      </c>
      <c r="F57" s="26">
        <v>437.81</v>
      </c>
      <c r="G57" s="27">
        <f t="shared" si="3"/>
        <v>792.44</v>
      </c>
    </row>
    <row r="58" spans="2:7" ht="27.75" customHeight="1" x14ac:dyDescent="0.25">
      <c r="B58" s="22">
        <v>42</v>
      </c>
      <c r="C58" s="40" t="s">
        <v>58</v>
      </c>
      <c r="D58" s="24" t="s">
        <v>158</v>
      </c>
      <c r="E58" s="25">
        <f>ROUND(1.315,2)</f>
        <v>1.32</v>
      </c>
      <c r="F58" s="26">
        <v>460.06</v>
      </c>
      <c r="G58" s="27">
        <f t="shared" si="3"/>
        <v>607.28</v>
      </c>
    </row>
    <row r="59" spans="2:7" x14ac:dyDescent="0.25">
      <c r="B59" s="22">
        <v>43</v>
      </c>
      <c r="C59" s="23" t="s">
        <v>59</v>
      </c>
      <c r="D59" s="24" t="s">
        <v>158</v>
      </c>
      <c r="E59" s="25">
        <f>ROUND(12.7045,2)</f>
        <v>12.7</v>
      </c>
      <c r="F59" s="26">
        <v>14.52</v>
      </c>
      <c r="G59" s="27">
        <f t="shared" si="3"/>
        <v>184.4</v>
      </c>
    </row>
    <row r="60" spans="2:7" x14ac:dyDescent="0.25">
      <c r="B60" s="22">
        <v>44</v>
      </c>
      <c r="C60" s="23" t="s">
        <v>60</v>
      </c>
      <c r="D60" s="24" t="s">
        <v>156</v>
      </c>
      <c r="E60" s="25">
        <v>45.49</v>
      </c>
      <c r="F60" s="26">
        <v>41.57</v>
      </c>
      <c r="G60" s="27">
        <f t="shared" si="3"/>
        <v>1891.02</v>
      </c>
    </row>
    <row r="61" spans="2:7" x14ac:dyDescent="0.25">
      <c r="B61" s="22">
        <v>45</v>
      </c>
      <c r="C61" s="23" t="s">
        <v>45</v>
      </c>
      <c r="D61" s="24" t="s">
        <v>158</v>
      </c>
      <c r="E61" s="25">
        <f>ROUND(1.696,2)</f>
        <v>1.7</v>
      </c>
      <c r="F61" s="26">
        <v>610.16999999999996</v>
      </c>
      <c r="G61" s="27">
        <f t="shared" si="3"/>
        <v>1037.29</v>
      </c>
    </row>
    <row r="62" spans="2:7" x14ac:dyDescent="0.25">
      <c r="B62" s="22">
        <v>46</v>
      </c>
      <c r="C62" s="23" t="s">
        <v>61</v>
      </c>
      <c r="D62" s="24" t="s">
        <v>158</v>
      </c>
      <c r="E62" s="25">
        <v>1.5000000000000004</v>
      </c>
      <c r="F62" s="26">
        <v>612.23</v>
      </c>
      <c r="G62" s="27">
        <f t="shared" si="3"/>
        <v>918.35</v>
      </c>
    </row>
    <row r="63" spans="2:7" x14ac:dyDescent="0.25">
      <c r="B63" s="22">
        <v>47</v>
      </c>
      <c r="C63" s="23" t="s">
        <v>46</v>
      </c>
      <c r="D63" s="24" t="s">
        <v>155</v>
      </c>
      <c r="E63" s="25">
        <v>15.8</v>
      </c>
      <c r="F63" s="26">
        <v>17</v>
      </c>
      <c r="G63" s="27">
        <f t="shared" si="3"/>
        <v>268.60000000000002</v>
      </c>
    </row>
    <row r="64" spans="2:7" x14ac:dyDescent="0.25">
      <c r="B64" s="22">
        <v>48</v>
      </c>
      <c r="C64" s="23" t="s">
        <v>62</v>
      </c>
      <c r="D64" s="24" t="s">
        <v>155</v>
      </c>
      <c r="E64" s="25">
        <v>4.9000000000000004</v>
      </c>
      <c r="F64" s="26">
        <v>12.41</v>
      </c>
      <c r="G64" s="27">
        <f t="shared" si="3"/>
        <v>60.81</v>
      </c>
    </row>
    <row r="65" spans="2:7" x14ac:dyDescent="0.25">
      <c r="B65" s="22">
        <v>49</v>
      </c>
      <c r="C65" s="23" t="s">
        <v>115</v>
      </c>
      <c r="D65" s="24" t="s">
        <v>156</v>
      </c>
      <c r="E65" s="25">
        <f>ROUND(88.7165,2)</f>
        <v>88.72</v>
      </c>
      <c r="F65" s="26">
        <v>19.149999999999999</v>
      </c>
      <c r="G65" s="27">
        <f t="shared" si="3"/>
        <v>1698.99</v>
      </c>
    </row>
    <row r="66" spans="2:7" x14ac:dyDescent="0.25">
      <c r="B66" s="22">
        <v>50</v>
      </c>
      <c r="C66" s="23" t="s">
        <v>63</v>
      </c>
      <c r="D66" s="24" t="s">
        <v>155</v>
      </c>
      <c r="E66" s="25">
        <v>3.2</v>
      </c>
      <c r="F66" s="26">
        <v>15</v>
      </c>
      <c r="G66" s="27">
        <f t="shared" si="3"/>
        <v>48</v>
      </c>
    </row>
    <row r="67" spans="2:7" x14ac:dyDescent="0.25">
      <c r="B67" s="22">
        <v>51</v>
      </c>
      <c r="C67" s="23" t="s">
        <v>64</v>
      </c>
      <c r="D67" s="24" t="s">
        <v>156</v>
      </c>
      <c r="E67" s="25">
        <f>ROUND(136.3215,2)</f>
        <v>136.32</v>
      </c>
      <c r="F67" s="26">
        <v>6.05</v>
      </c>
      <c r="G67" s="27">
        <f t="shared" si="3"/>
        <v>824.74</v>
      </c>
    </row>
    <row r="68" spans="2:7" x14ac:dyDescent="0.25">
      <c r="B68" s="22">
        <v>52</v>
      </c>
      <c r="C68" s="23" t="s">
        <v>52</v>
      </c>
      <c r="D68" s="24" t="s">
        <v>156</v>
      </c>
      <c r="E68" s="25">
        <v>83.74</v>
      </c>
      <c r="F68" s="26">
        <v>8.27</v>
      </c>
      <c r="G68" s="27">
        <f t="shared" si="3"/>
        <v>692.53</v>
      </c>
    </row>
    <row r="69" spans="2:7" x14ac:dyDescent="0.25">
      <c r="B69" s="22">
        <v>53</v>
      </c>
      <c r="C69" s="23" t="s">
        <v>65</v>
      </c>
      <c r="D69" s="24" t="s">
        <v>155</v>
      </c>
      <c r="E69" s="25">
        <v>21.669999999999998</v>
      </c>
      <c r="F69" s="26">
        <v>4.7</v>
      </c>
      <c r="G69" s="27">
        <f t="shared" si="3"/>
        <v>101.85</v>
      </c>
    </row>
    <row r="70" spans="2:7" x14ac:dyDescent="0.25">
      <c r="B70" s="22">
        <v>54</v>
      </c>
      <c r="C70" s="23" t="s">
        <v>66</v>
      </c>
      <c r="D70" s="24" t="s">
        <v>155</v>
      </c>
      <c r="E70" s="25">
        <v>48.6</v>
      </c>
      <c r="F70" s="26">
        <v>4.7</v>
      </c>
      <c r="G70" s="27">
        <f t="shared" si="3"/>
        <v>228.42</v>
      </c>
    </row>
    <row r="71" spans="2:7" x14ac:dyDescent="0.25">
      <c r="B71" s="22">
        <v>55</v>
      </c>
      <c r="C71" s="23" t="s">
        <v>67</v>
      </c>
      <c r="D71" s="24" t="s">
        <v>155</v>
      </c>
      <c r="E71" s="25">
        <v>47.250000000000007</v>
      </c>
      <c r="F71" s="26">
        <v>3.46</v>
      </c>
      <c r="G71" s="27">
        <f t="shared" si="3"/>
        <v>163.49</v>
      </c>
    </row>
    <row r="72" spans="2:7" x14ac:dyDescent="0.25">
      <c r="B72" s="22">
        <v>56</v>
      </c>
      <c r="C72" s="23" t="s">
        <v>68</v>
      </c>
      <c r="D72" s="24" t="s">
        <v>156</v>
      </c>
      <c r="E72" s="25">
        <v>92.4</v>
      </c>
      <c r="F72" s="26">
        <v>36.4</v>
      </c>
      <c r="G72" s="27">
        <f t="shared" si="3"/>
        <v>3363.36</v>
      </c>
    </row>
    <row r="73" spans="2:7" x14ac:dyDescent="0.25">
      <c r="B73" s="22">
        <v>57</v>
      </c>
      <c r="C73" s="23" t="s">
        <v>69</v>
      </c>
      <c r="D73" s="24" t="s">
        <v>156</v>
      </c>
      <c r="E73" s="25">
        <v>92.4</v>
      </c>
      <c r="F73" s="26">
        <v>17.97</v>
      </c>
      <c r="G73" s="27">
        <f t="shared" si="3"/>
        <v>1660.43</v>
      </c>
    </row>
    <row r="74" spans="2:7" x14ac:dyDescent="0.25">
      <c r="B74" s="22">
        <v>58</v>
      </c>
      <c r="C74" s="23" t="s">
        <v>116</v>
      </c>
      <c r="D74" s="24" t="s">
        <v>155</v>
      </c>
      <c r="E74" s="25">
        <v>30</v>
      </c>
      <c r="F74" s="26">
        <v>16.84</v>
      </c>
      <c r="G74" s="27">
        <f t="shared" si="3"/>
        <v>505.2</v>
      </c>
    </row>
    <row r="75" spans="2:7" x14ac:dyDescent="0.25">
      <c r="B75" s="22">
        <v>59</v>
      </c>
      <c r="C75" s="23" t="s">
        <v>70</v>
      </c>
      <c r="D75" s="24" t="s">
        <v>156</v>
      </c>
      <c r="E75" s="25">
        <v>25.8</v>
      </c>
      <c r="F75" s="26">
        <v>14.67</v>
      </c>
      <c r="G75" s="27">
        <f t="shared" si="3"/>
        <v>378.49</v>
      </c>
    </row>
    <row r="76" spans="2:7" x14ac:dyDescent="0.25">
      <c r="B76" s="22">
        <v>60</v>
      </c>
      <c r="C76" s="23" t="s">
        <v>71</v>
      </c>
      <c r="D76" s="24" t="s">
        <v>156</v>
      </c>
      <c r="E76" s="25">
        <v>43</v>
      </c>
      <c r="F76" s="26">
        <v>28.77</v>
      </c>
      <c r="G76" s="27">
        <f t="shared" si="3"/>
        <v>1237.1099999999999</v>
      </c>
    </row>
    <row r="77" spans="2:7" x14ac:dyDescent="0.25">
      <c r="B77" s="22">
        <v>61</v>
      </c>
      <c r="C77" s="23" t="s">
        <v>72</v>
      </c>
      <c r="D77" s="24" t="s">
        <v>156</v>
      </c>
      <c r="E77" s="25">
        <f>ROUND(12.915,2)</f>
        <v>12.92</v>
      </c>
      <c r="F77" s="26">
        <v>19.11</v>
      </c>
      <c r="G77" s="27">
        <f t="shared" si="3"/>
        <v>246.9</v>
      </c>
    </row>
    <row r="78" spans="2:7" x14ac:dyDescent="0.25">
      <c r="B78" s="22">
        <v>62</v>
      </c>
      <c r="C78" s="23" t="s">
        <v>73</v>
      </c>
      <c r="D78" s="24" t="s">
        <v>5</v>
      </c>
      <c r="E78" s="25">
        <v>2</v>
      </c>
      <c r="F78" s="26">
        <v>171.59</v>
      </c>
      <c r="G78" s="27">
        <f t="shared" si="3"/>
        <v>343.18</v>
      </c>
    </row>
    <row r="79" spans="2:7" x14ac:dyDescent="0.25">
      <c r="B79" s="22">
        <v>63</v>
      </c>
      <c r="C79" s="23" t="s">
        <v>126</v>
      </c>
      <c r="D79" s="24" t="s">
        <v>5</v>
      </c>
      <c r="E79" s="25">
        <v>1</v>
      </c>
      <c r="F79" s="26">
        <v>1360</v>
      </c>
      <c r="G79" s="27">
        <f t="shared" si="3"/>
        <v>1360</v>
      </c>
    </row>
    <row r="80" spans="2:7" x14ac:dyDescent="0.25">
      <c r="B80" s="22">
        <v>64</v>
      </c>
      <c r="C80" s="23" t="s">
        <v>127</v>
      </c>
      <c r="D80" s="24" t="s">
        <v>5</v>
      </c>
      <c r="E80" s="25">
        <v>1</v>
      </c>
      <c r="F80" s="26">
        <v>68.680000000000007</v>
      </c>
      <c r="G80" s="27">
        <f t="shared" si="3"/>
        <v>68.680000000000007</v>
      </c>
    </row>
    <row r="81" spans="2:7" x14ac:dyDescent="0.25">
      <c r="B81" s="22">
        <v>65</v>
      </c>
      <c r="C81" s="23" t="s">
        <v>74</v>
      </c>
      <c r="D81" s="24" t="s">
        <v>156</v>
      </c>
      <c r="E81" s="25">
        <f>ROUND(136.3215,2)</f>
        <v>136.32</v>
      </c>
      <c r="F81" s="26">
        <v>2.82</v>
      </c>
      <c r="G81" s="27">
        <f t="shared" si="3"/>
        <v>384.42</v>
      </c>
    </row>
    <row r="82" spans="2:7" x14ac:dyDescent="0.25">
      <c r="B82" s="22">
        <v>66</v>
      </c>
      <c r="C82" s="23" t="s">
        <v>75</v>
      </c>
      <c r="D82" s="24" t="s">
        <v>156</v>
      </c>
      <c r="E82" s="25">
        <f>ROUND(136.3215,2)</f>
        <v>136.32</v>
      </c>
      <c r="F82" s="26">
        <v>5.27</v>
      </c>
      <c r="G82" s="27">
        <f t="shared" si="3"/>
        <v>718.41</v>
      </c>
    </row>
    <row r="83" spans="2:7" x14ac:dyDescent="0.25">
      <c r="B83" s="22">
        <v>67</v>
      </c>
      <c r="C83" s="23" t="s">
        <v>54</v>
      </c>
      <c r="D83" s="24" t="s">
        <v>156</v>
      </c>
      <c r="E83" s="25">
        <v>83.74</v>
      </c>
      <c r="F83" s="26">
        <v>6.07</v>
      </c>
      <c r="G83" s="27">
        <f t="shared" si="3"/>
        <v>508.3</v>
      </c>
    </row>
    <row r="84" spans="2:7" x14ac:dyDescent="0.25">
      <c r="B84" s="22">
        <v>68</v>
      </c>
      <c r="C84" s="23" t="s">
        <v>76</v>
      </c>
      <c r="D84" s="24" t="s">
        <v>156</v>
      </c>
      <c r="E84" s="25">
        <v>5.6999999999999993</v>
      </c>
      <c r="F84" s="26">
        <v>96.63</v>
      </c>
      <c r="G84" s="27">
        <f t="shared" si="3"/>
        <v>550.79</v>
      </c>
    </row>
    <row r="85" spans="2:7" x14ac:dyDescent="0.25">
      <c r="B85" s="22">
        <v>69</v>
      </c>
      <c r="C85" s="23" t="s">
        <v>164</v>
      </c>
      <c r="D85" s="24" t="s">
        <v>156</v>
      </c>
      <c r="E85" s="25">
        <v>45.94</v>
      </c>
      <c r="F85" s="26">
        <v>14.12</v>
      </c>
      <c r="G85" s="27">
        <f t="shared" si="3"/>
        <v>648.66999999999996</v>
      </c>
    </row>
    <row r="86" spans="2:7" x14ac:dyDescent="0.25">
      <c r="B86" s="22">
        <v>70</v>
      </c>
      <c r="C86" s="23" t="s">
        <v>77</v>
      </c>
      <c r="D86" s="24" t="s">
        <v>156</v>
      </c>
      <c r="E86" s="25">
        <v>14.67</v>
      </c>
      <c r="F86" s="26">
        <v>94.02</v>
      </c>
      <c r="G86" s="27">
        <f t="shared" si="3"/>
        <v>1379.27</v>
      </c>
    </row>
    <row r="87" spans="2:7" ht="15.75" thickBot="1" x14ac:dyDescent="0.3">
      <c r="B87" s="28">
        <v>71</v>
      </c>
      <c r="C87" s="29" t="s">
        <v>78</v>
      </c>
      <c r="D87" s="30" t="s">
        <v>156</v>
      </c>
      <c r="E87" s="31">
        <v>5.3900000000000006</v>
      </c>
      <c r="F87" s="32">
        <v>109.6</v>
      </c>
      <c r="G87" s="33">
        <f t="shared" si="3"/>
        <v>590.74</v>
      </c>
    </row>
    <row r="88" spans="2:7" x14ac:dyDescent="0.25">
      <c r="B88" s="63" t="s">
        <v>18</v>
      </c>
      <c r="C88" s="64" t="s">
        <v>19</v>
      </c>
      <c r="D88" s="65"/>
      <c r="E88" s="65"/>
      <c r="F88" s="65"/>
      <c r="G88" s="66">
        <f>SUM(G89:G94)</f>
        <v>5091.95</v>
      </c>
    </row>
    <row r="89" spans="2:7" x14ac:dyDescent="0.25">
      <c r="B89" s="22">
        <v>72</v>
      </c>
      <c r="C89" s="23" t="s">
        <v>40</v>
      </c>
      <c r="D89" s="24" t="s">
        <v>156</v>
      </c>
      <c r="E89" s="25">
        <f>ROUND((24.14+0.7+6.15+0.6)*1,2)</f>
        <v>31.59</v>
      </c>
      <c r="F89" s="26">
        <v>1.78</v>
      </c>
      <c r="G89" s="27">
        <f t="shared" ref="G89:G94" si="4">ROUND(E89*F89,2)</f>
        <v>56.23</v>
      </c>
    </row>
    <row r="90" spans="2:7" x14ac:dyDescent="0.25">
      <c r="B90" s="22">
        <v>73</v>
      </c>
      <c r="C90" s="23" t="s">
        <v>36</v>
      </c>
      <c r="D90" s="24" t="s">
        <v>158</v>
      </c>
      <c r="E90" s="25">
        <f>ROUND(E89*0.7*0.5,2)</f>
        <v>11.06</v>
      </c>
      <c r="F90" s="26">
        <v>14.14</v>
      </c>
      <c r="G90" s="27">
        <f t="shared" si="4"/>
        <v>156.38999999999999</v>
      </c>
    </row>
    <row r="91" spans="2:7" x14ac:dyDescent="0.25">
      <c r="B91" s="22">
        <v>74</v>
      </c>
      <c r="C91" s="23" t="s">
        <v>41</v>
      </c>
      <c r="D91" s="24" t="s">
        <v>158</v>
      </c>
      <c r="E91" s="25">
        <f>+E89*0.7*0.05</f>
        <v>1.10565</v>
      </c>
      <c r="F91" s="26">
        <v>134.1</v>
      </c>
      <c r="G91" s="27">
        <f t="shared" si="4"/>
        <v>148.27000000000001</v>
      </c>
    </row>
    <row r="92" spans="2:7" ht="27" customHeight="1" x14ac:dyDescent="0.25">
      <c r="B92" s="22">
        <v>75</v>
      </c>
      <c r="C92" s="40" t="s">
        <v>58</v>
      </c>
      <c r="D92" s="24" t="s">
        <v>158</v>
      </c>
      <c r="E92" s="25">
        <f>ROUND((E89*0.7*0.1)+((0.5+12+1.41+5+0.7+0.5+0.7+5.58+0.5+11+0.83+11.74+5.21+0.34+0.36+0.7+1.1+6.16+0.5)*0.1*0.4),2)</f>
        <v>4.8</v>
      </c>
      <c r="F92" s="26">
        <v>460.06</v>
      </c>
      <c r="G92" s="27">
        <f t="shared" si="4"/>
        <v>2208.29</v>
      </c>
    </row>
    <row r="93" spans="2:7" x14ac:dyDescent="0.25">
      <c r="B93" s="22">
        <v>76</v>
      </c>
      <c r="C93" s="23" t="s">
        <v>79</v>
      </c>
      <c r="D93" s="24" t="s">
        <v>156</v>
      </c>
      <c r="E93" s="25">
        <f>ROUND(E89*0.7,2)</f>
        <v>22.11</v>
      </c>
      <c r="F93" s="26">
        <v>90.49</v>
      </c>
      <c r="G93" s="27">
        <f t="shared" si="4"/>
        <v>2000.73</v>
      </c>
    </row>
    <row r="94" spans="2:7" ht="15.75" thickBot="1" x14ac:dyDescent="0.3">
      <c r="B94" s="28">
        <v>77</v>
      </c>
      <c r="C94" s="29" t="s">
        <v>80</v>
      </c>
      <c r="D94" s="30" t="s">
        <v>155</v>
      </c>
      <c r="E94" s="31">
        <v>31</v>
      </c>
      <c r="F94" s="32">
        <v>16.84</v>
      </c>
      <c r="G94" s="33">
        <f t="shared" si="4"/>
        <v>522.04</v>
      </c>
    </row>
    <row r="95" spans="2:7" x14ac:dyDescent="0.25">
      <c r="B95" s="67" t="s">
        <v>20</v>
      </c>
      <c r="C95" s="68" t="s">
        <v>21</v>
      </c>
      <c r="D95" s="69"/>
      <c r="E95" s="69"/>
      <c r="F95" s="69"/>
      <c r="G95" s="70">
        <f>SUM(G96:G100)</f>
        <v>14826.92</v>
      </c>
    </row>
    <row r="96" spans="2:7" x14ac:dyDescent="0.25">
      <c r="B96" s="22">
        <v>78</v>
      </c>
      <c r="C96" s="23" t="s">
        <v>40</v>
      </c>
      <c r="D96" s="24" t="s">
        <v>156</v>
      </c>
      <c r="E96" s="54">
        <f>ROUND((9.2*6.6)+(11.7*2.8)+(2*2.2)+(1.9*2*5),2)</f>
        <v>116.88</v>
      </c>
      <c r="F96" s="26">
        <v>1.78</v>
      </c>
      <c r="G96" s="27">
        <f>ROUND(E96*F96,2)</f>
        <v>208.05</v>
      </c>
    </row>
    <row r="97" spans="2:7" x14ac:dyDescent="0.25">
      <c r="B97" s="22">
        <v>79</v>
      </c>
      <c r="C97" s="23" t="s">
        <v>36</v>
      </c>
      <c r="D97" s="24" t="s">
        <v>158</v>
      </c>
      <c r="E97" s="25">
        <f>ROUND(((7*4.4*0.3)+(8.2*0.6*0.3*2)+(4.4*0.6*0.3*2)+(1.8*1.8*1*2)+((7.7)*0.35*0.4)+(1.5*1.7*1)+(1.4*1.8*1*5)),2)</f>
        <v>36.479999999999997</v>
      </c>
      <c r="F97" s="26">
        <v>14.14</v>
      </c>
      <c r="G97" s="27">
        <f>ROUND(E97*F97,2)</f>
        <v>515.83000000000004</v>
      </c>
    </row>
    <row r="98" spans="2:7" x14ac:dyDescent="0.25">
      <c r="B98" s="22">
        <v>80</v>
      </c>
      <c r="C98" s="23" t="s">
        <v>41</v>
      </c>
      <c r="D98" s="24" t="s">
        <v>158</v>
      </c>
      <c r="E98" s="25">
        <f>ROUND(((7*4.4*0.05)+(8.2*0.6*0.05*2)+(4.4*0.6*0.05*2)+(1.8*1.8*0.05*2)+((7.7)*0.35*0.05)+(1.5*1.7*0.05)+(1.4*1.8*0.05*5)),2)</f>
        <v>3.51</v>
      </c>
      <c r="F98" s="26">
        <v>134.1</v>
      </c>
      <c r="G98" s="27">
        <f>ROUND(E98*F98,2)</f>
        <v>470.69</v>
      </c>
    </row>
    <row r="99" spans="2:7" x14ac:dyDescent="0.25">
      <c r="B99" s="22">
        <v>81</v>
      </c>
      <c r="C99" s="23" t="s">
        <v>59</v>
      </c>
      <c r="D99" s="24" t="s">
        <v>158</v>
      </c>
      <c r="E99" s="25">
        <v>9</v>
      </c>
      <c r="F99" s="26">
        <v>14.52</v>
      </c>
      <c r="G99" s="27">
        <f>ROUND(E99*F99,2)</f>
        <v>130.68</v>
      </c>
    </row>
    <row r="100" spans="2:7" ht="28.5" customHeight="1" thickBot="1" x14ac:dyDescent="0.3">
      <c r="B100" s="28">
        <v>82</v>
      </c>
      <c r="C100" s="173" t="s">
        <v>81</v>
      </c>
      <c r="D100" s="30" t="s">
        <v>158</v>
      </c>
      <c r="E100" s="31">
        <f>ROUND((7*4.4*0.45)+(22.4*0.1*0.25)+(8.2*0.6*0.1*2)+(4.4*0.6*0.1*2)+(8.2*0.1*0.7*2)+(4.4*0.1*0.7*2)+(1.8*1.8*0.3*2)+(1.2*1.2*0.85*2)+(7.7*0.35*0.35)+(1.5*1.7*0.3)+(0.9*1.1*0.85)+(1.4*1.5*0.3*5)+(0.8*1.5*0.85*5),2)</f>
        <v>32.89</v>
      </c>
      <c r="F100" s="32">
        <v>410.51</v>
      </c>
      <c r="G100" s="33">
        <f>ROUND(E100*F100,2)</f>
        <v>13501.67</v>
      </c>
    </row>
    <row r="101" spans="2:7" x14ac:dyDescent="0.25">
      <c r="B101" s="71" t="s">
        <v>22</v>
      </c>
      <c r="C101" s="72" t="s">
        <v>23</v>
      </c>
      <c r="D101" s="73"/>
      <c r="E101" s="73"/>
      <c r="F101" s="73"/>
      <c r="G101" s="74">
        <f>SUM(G102:G104)</f>
        <v>2330.59</v>
      </c>
    </row>
    <row r="102" spans="2:7" x14ac:dyDescent="0.25">
      <c r="B102" s="22">
        <v>83</v>
      </c>
      <c r="C102" s="23" t="s">
        <v>82</v>
      </c>
      <c r="D102" s="24" t="s">
        <v>5</v>
      </c>
      <c r="E102" s="25">
        <v>7</v>
      </c>
      <c r="F102" s="26">
        <v>85.02</v>
      </c>
      <c r="G102" s="27">
        <f>ROUND(E102*F102,2)</f>
        <v>595.14</v>
      </c>
    </row>
    <row r="103" spans="2:7" x14ac:dyDescent="0.25">
      <c r="B103" s="22">
        <v>84</v>
      </c>
      <c r="C103" s="23" t="s">
        <v>79</v>
      </c>
      <c r="D103" s="24" t="s">
        <v>156</v>
      </c>
      <c r="E103" s="25">
        <f>ROUND(0.7*0.7*7,2)</f>
        <v>3.43</v>
      </c>
      <c r="F103" s="26">
        <v>90.49</v>
      </c>
      <c r="G103" s="27">
        <f>ROUND(E103*F103,2)</f>
        <v>310.38</v>
      </c>
    </row>
    <row r="104" spans="2:7" ht="27.75" customHeight="1" thickBot="1" x14ac:dyDescent="0.3">
      <c r="B104" s="28">
        <v>85</v>
      </c>
      <c r="C104" s="173" t="s">
        <v>165</v>
      </c>
      <c r="D104" s="30" t="s">
        <v>155</v>
      </c>
      <c r="E104" s="31">
        <f>ROUND(3.85+3.9+2.6+5.8+5.8+3.2+3.2+1.06+2.7+3.05+3.05+0.7+1.85+1.45+3.1+2.08+2.7+4.7+3.6+3.8+1.45+3.9+3.9+3.9+7.45+7.45+7.45+6.4+3.3,2)</f>
        <v>107.39</v>
      </c>
      <c r="F104" s="32">
        <v>13.27</v>
      </c>
      <c r="G104" s="33">
        <f>ROUND(E104*F104,2)</f>
        <v>1425.07</v>
      </c>
    </row>
    <row r="105" spans="2:7" x14ac:dyDescent="0.25">
      <c r="B105" s="59" t="s">
        <v>24</v>
      </c>
      <c r="C105" s="60" t="s">
        <v>25</v>
      </c>
      <c r="D105" s="61"/>
      <c r="E105" s="61"/>
      <c r="F105" s="61"/>
      <c r="G105" s="62">
        <f>SUM(G106:G135)</f>
        <v>5764.5199999999995</v>
      </c>
    </row>
    <row r="106" spans="2:7" x14ac:dyDescent="0.25">
      <c r="B106" s="22">
        <v>86</v>
      </c>
      <c r="C106" s="23" t="s">
        <v>40</v>
      </c>
      <c r="D106" s="24" t="s">
        <v>156</v>
      </c>
      <c r="E106" s="25">
        <v>12.899999999999999</v>
      </c>
      <c r="F106" s="26">
        <v>1.78</v>
      </c>
      <c r="G106" s="27">
        <f t="shared" ref="G106:G135" si="5">ROUND(E106*F106,2)</f>
        <v>22.96</v>
      </c>
    </row>
    <row r="107" spans="2:7" x14ac:dyDescent="0.25">
      <c r="B107" s="22">
        <v>87</v>
      </c>
      <c r="C107" s="23" t="s">
        <v>50</v>
      </c>
      <c r="D107" s="24" t="s">
        <v>158</v>
      </c>
      <c r="E107" s="25">
        <v>0.17</v>
      </c>
      <c r="F107" s="26">
        <v>7.87</v>
      </c>
      <c r="G107" s="27">
        <f t="shared" si="5"/>
        <v>1.34</v>
      </c>
    </row>
    <row r="108" spans="2:7" x14ac:dyDescent="0.25">
      <c r="B108" s="22">
        <v>88</v>
      </c>
      <c r="C108" s="23" t="s">
        <v>41</v>
      </c>
      <c r="D108" s="24" t="s">
        <v>158</v>
      </c>
      <c r="E108" s="25">
        <v>0.17</v>
      </c>
      <c r="F108" s="26">
        <v>134.1</v>
      </c>
      <c r="G108" s="27">
        <f t="shared" si="5"/>
        <v>22.8</v>
      </c>
    </row>
    <row r="109" spans="2:7" x14ac:dyDescent="0.25">
      <c r="B109" s="22">
        <v>89</v>
      </c>
      <c r="C109" s="23" t="s">
        <v>42</v>
      </c>
      <c r="D109" s="24" t="s">
        <v>158</v>
      </c>
      <c r="E109" s="25">
        <f>ROUND(0.216,2)</f>
        <v>0.22</v>
      </c>
      <c r="F109" s="26">
        <v>382.95</v>
      </c>
      <c r="G109" s="27">
        <f t="shared" si="5"/>
        <v>84.25</v>
      </c>
    </row>
    <row r="110" spans="2:7" x14ac:dyDescent="0.25">
      <c r="B110" s="22">
        <v>90</v>
      </c>
      <c r="C110" s="23" t="s">
        <v>105</v>
      </c>
      <c r="D110" s="24" t="s">
        <v>155</v>
      </c>
      <c r="E110" s="25">
        <f>ROUND(4.4+5.3+1+1,2)</f>
        <v>11.7</v>
      </c>
      <c r="F110" s="26">
        <v>17</v>
      </c>
      <c r="G110" s="27">
        <f t="shared" si="5"/>
        <v>198.9</v>
      </c>
    </row>
    <row r="111" spans="2:7" x14ac:dyDescent="0.25">
      <c r="B111" s="22">
        <v>91</v>
      </c>
      <c r="C111" s="23" t="s">
        <v>44</v>
      </c>
      <c r="D111" s="24" t="s">
        <v>158</v>
      </c>
      <c r="E111" s="25">
        <f>ROUND(0.392,2)</f>
        <v>0.39</v>
      </c>
      <c r="F111" s="26">
        <v>437.81</v>
      </c>
      <c r="G111" s="27">
        <f t="shared" si="5"/>
        <v>170.75</v>
      </c>
    </row>
    <row r="112" spans="2:7" x14ac:dyDescent="0.25">
      <c r="B112" s="22">
        <v>92</v>
      </c>
      <c r="C112" s="23" t="s">
        <v>59</v>
      </c>
      <c r="D112" s="24" t="s">
        <v>158</v>
      </c>
      <c r="E112" s="25">
        <v>1.1599999999999999</v>
      </c>
      <c r="F112" s="26">
        <v>14.52</v>
      </c>
      <c r="G112" s="27">
        <f t="shared" si="5"/>
        <v>16.84</v>
      </c>
    </row>
    <row r="113" spans="2:7" x14ac:dyDescent="0.25">
      <c r="B113" s="22">
        <v>93</v>
      </c>
      <c r="C113" s="23" t="s">
        <v>60</v>
      </c>
      <c r="D113" s="24" t="s">
        <v>156</v>
      </c>
      <c r="E113" s="25">
        <v>6.8200000000000012</v>
      </c>
      <c r="F113" s="26">
        <v>17.190000000000001</v>
      </c>
      <c r="G113" s="27">
        <f t="shared" si="5"/>
        <v>117.24</v>
      </c>
    </row>
    <row r="114" spans="2:7" x14ac:dyDescent="0.25">
      <c r="B114" s="22">
        <v>94</v>
      </c>
      <c r="C114" s="23" t="s">
        <v>70</v>
      </c>
      <c r="D114" s="24" t="s">
        <v>156</v>
      </c>
      <c r="E114" s="25">
        <f>ROUND(7.112,2)</f>
        <v>7.11</v>
      </c>
      <c r="F114" s="26">
        <v>14.67</v>
      </c>
      <c r="G114" s="27">
        <f t="shared" si="5"/>
        <v>104.3</v>
      </c>
    </row>
    <row r="115" spans="2:7" x14ac:dyDescent="0.25">
      <c r="B115" s="22">
        <v>95</v>
      </c>
      <c r="C115" s="23" t="s">
        <v>45</v>
      </c>
      <c r="D115" s="24" t="s">
        <v>158</v>
      </c>
      <c r="E115" s="25">
        <v>0.48000000000000009</v>
      </c>
      <c r="F115" s="26">
        <v>610.16999999999996</v>
      </c>
      <c r="G115" s="27">
        <f t="shared" si="5"/>
        <v>292.88</v>
      </c>
    </row>
    <row r="116" spans="2:7" x14ac:dyDescent="0.25">
      <c r="B116" s="22">
        <v>96</v>
      </c>
      <c r="C116" s="23" t="s">
        <v>61</v>
      </c>
      <c r="D116" s="24" t="s">
        <v>158</v>
      </c>
      <c r="E116" s="25">
        <f>ROUND(0.424,2)</f>
        <v>0.42</v>
      </c>
      <c r="F116" s="26">
        <v>612.23</v>
      </c>
      <c r="G116" s="27">
        <f t="shared" si="5"/>
        <v>257.14</v>
      </c>
    </row>
    <row r="117" spans="2:7" x14ac:dyDescent="0.25">
      <c r="B117" s="22">
        <v>97</v>
      </c>
      <c r="C117" s="23" t="s">
        <v>46</v>
      </c>
      <c r="D117" s="24" t="s">
        <v>155</v>
      </c>
      <c r="E117" s="25">
        <v>5.4</v>
      </c>
      <c r="F117" s="26">
        <v>17</v>
      </c>
      <c r="G117" s="27">
        <f t="shared" si="5"/>
        <v>91.8</v>
      </c>
    </row>
    <row r="118" spans="2:7" x14ac:dyDescent="0.25">
      <c r="B118" s="22">
        <v>98</v>
      </c>
      <c r="C118" s="23" t="s">
        <v>62</v>
      </c>
      <c r="D118" s="24" t="s">
        <v>155</v>
      </c>
      <c r="E118" s="25">
        <v>2</v>
      </c>
      <c r="F118" s="26">
        <v>12.41</v>
      </c>
      <c r="G118" s="27">
        <f t="shared" si="5"/>
        <v>24.82</v>
      </c>
    </row>
    <row r="119" spans="2:7" x14ac:dyDescent="0.25">
      <c r="B119" s="22">
        <v>99</v>
      </c>
      <c r="C119" s="23" t="s">
        <v>115</v>
      </c>
      <c r="D119" s="24" t="s">
        <v>156</v>
      </c>
      <c r="E119" s="25">
        <f>ROUND(20.3805,2)</f>
        <v>20.38</v>
      </c>
      <c r="F119" s="26">
        <v>19.149999999999999</v>
      </c>
      <c r="G119" s="27">
        <f t="shared" si="5"/>
        <v>390.28</v>
      </c>
    </row>
    <row r="120" spans="2:7" x14ac:dyDescent="0.25">
      <c r="B120" s="22">
        <v>100</v>
      </c>
      <c r="C120" s="23" t="s">
        <v>63</v>
      </c>
      <c r="D120" s="24" t="s">
        <v>155</v>
      </c>
      <c r="E120" s="25">
        <v>2</v>
      </c>
      <c r="F120" s="26">
        <v>11.38</v>
      </c>
      <c r="G120" s="27">
        <f t="shared" si="5"/>
        <v>22.76</v>
      </c>
    </row>
    <row r="121" spans="2:7" x14ac:dyDescent="0.25">
      <c r="B121" s="22">
        <v>101</v>
      </c>
      <c r="C121" s="23" t="s">
        <v>64</v>
      </c>
      <c r="D121" s="24" t="s">
        <v>156</v>
      </c>
      <c r="E121" s="25">
        <v>60.300000000000004</v>
      </c>
      <c r="F121" s="26">
        <v>6.05</v>
      </c>
      <c r="G121" s="27">
        <f t="shared" si="5"/>
        <v>364.82</v>
      </c>
    </row>
    <row r="122" spans="2:7" x14ac:dyDescent="0.25">
      <c r="B122" s="22">
        <v>102</v>
      </c>
      <c r="C122" s="23" t="s">
        <v>52</v>
      </c>
      <c r="D122" s="24" t="s">
        <v>156</v>
      </c>
      <c r="E122" s="25">
        <v>23.070000000000004</v>
      </c>
      <c r="F122" s="26">
        <v>8.27</v>
      </c>
      <c r="G122" s="27">
        <f t="shared" si="5"/>
        <v>190.79</v>
      </c>
    </row>
    <row r="123" spans="2:7" x14ac:dyDescent="0.25">
      <c r="B123" s="22">
        <v>103</v>
      </c>
      <c r="C123" s="23" t="s">
        <v>65</v>
      </c>
      <c r="D123" s="24" t="s">
        <v>155</v>
      </c>
      <c r="E123" s="25">
        <v>9.58</v>
      </c>
      <c r="F123" s="26">
        <v>4.7</v>
      </c>
      <c r="G123" s="27">
        <f t="shared" si="5"/>
        <v>45.03</v>
      </c>
    </row>
    <row r="124" spans="2:7" x14ac:dyDescent="0.25">
      <c r="B124" s="22">
        <v>104</v>
      </c>
      <c r="C124" s="23" t="s">
        <v>66</v>
      </c>
      <c r="D124" s="24" t="s">
        <v>155</v>
      </c>
      <c r="E124" s="25">
        <v>21.2</v>
      </c>
      <c r="F124" s="26">
        <v>4.7</v>
      </c>
      <c r="G124" s="27">
        <f t="shared" si="5"/>
        <v>99.64</v>
      </c>
    </row>
    <row r="125" spans="2:7" x14ac:dyDescent="0.25">
      <c r="B125" s="22">
        <v>105</v>
      </c>
      <c r="C125" s="23" t="s">
        <v>67</v>
      </c>
      <c r="D125" s="24" t="s">
        <v>155</v>
      </c>
      <c r="E125" s="25">
        <v>2.4</v>
      </c>
      <c r="F125" s="26">
        <v>3.46</v>
      </c>
      <c r="G125" s="27">
        <f t="shared" si="5"/>
        <v>8.3000000000000007</v>
      </c>
    </row>
    <row r="126" spans="2:7" x14ac:dyDescent="0.25">
      <c r="B126" s="22">
        <v>106</v>
      </c>
      <c r="C126" s="23" t="s">
        <v>68</v>
      </c>
      <c r="D126" s="24" t="s">
        <v>156</v>
      </c>
      <c r="E126" s="25">
        <v>18.399999999999999</v>
      </c>
      <c r="F126" s="26">
        <v>36.4</v>
      </c>
      <c r="G126" s="27">
        <f t="shared" si="5"/>
        <v>669.76</v>
      </c>
    </row>
    <row r="127" spans="2:7" x14ac:dyDescent="0.25">
      <c r="B127" s="22">
        <v>107</v>
      </c>
      <c r="C127" s="23" t="s">
        <v>69</v>
      </c>
      <c r="D127" s="24" t="s">
        <v>156</v>
      </c>
      <c r="E127" s="25">
        <v>18.399999999999999</v>
      </c>
      <c r="F127" s="26">
        <v>13.42</v>
      </c>
      <c r="G127" s="27">
        <f t="shared" si="5"/>
        <v>246.93</v>
      </c>
    </row>
    <row r="128" spans="2:7" x14ac:dyDescent="0.25">
      <c r="B128" s="22">
        <v>108</v>
      </c>
      <c r="C128" s="23" t="s">
        <v>71</v>
      </c>
      <c r="D128" s="24" t="s">
        <v>156</v>
      </c>
      <c r="E128" s="25">
        <v>6.8200000000000012</v>
      </c>
      <c r="F128" s="26">
        <v>28.77</v>
      </c>
      <c r="G128" s="27">
        <f t="shared" si="5"/>
        <v>196.21</v>
      </c>
    </row>
    <row r="129" spans="2:7" x14ac:dyDescent="0.25">
      <c r="B129" s="22">
        <v>109</v>
      </c>
      <c r="C129" s="23" t="s">
        <v>125</v>
      </c>
      <c r="D129" s="24" t="s">
        <v>156</v>
      </c>
      <c r="E129" s="25">
        <v>5.64</v>
      </c>
      <c r="F129" s="26">
        <v>19.11</v>
      </c>
      <c r="G129" s="27">
        <f t="shared" si="5"/>
        <v>107.78</v>
      </c>
    </row>
    <row r="130" spans="2:7" x14ac:dyDescent="0.25">
      <c r="B130" s="22">
        <v>110</v>
      </c>
      <c r="C130" s="23" t="s">
        <v>73</v>
      </c>
      <c r="D130" s="24" t="s">
        <v>5</v>
      </c>
      <c r="E130" s="25">
        <v>2</v>
      </c>
      <c r="F130" s="26">
        <v>171.59</v>
      </c>
      <c r="G130" s="27">
        <f t="shared" si="5"/>
        <v>343.18</v>
      </c>
    </row>
    <row r="131" spans="2:7" x14ac:dyDescent="0.25">
      <c r="B131" s="22">
        <v>111</v>
      </c>
      <c r="C131" s="23" t="s">
        <v>74</v>
      </c>
      <c r="D131" s="24" t="s">
        <v>156</v>
      </c>
      <c r="E131" s="25">
        <v>60.300000000000004</v>
      </c>
      <c r="F131" s="26">
        <v>2.82</v>
      </c>
      <c r="G131" s="27">
        <f t="shared" si="5"/>
        <v>170.05</v>
      </c>
    </row>
    <row r="132" spans="2:7" x14ac:dyDescent="0.25">
      <c r="B132" s="22">
        <v>112</v>
      </c>
      <c r="C132" s="23" t="s">
        <v>75</v>
      </c>
      <c r="D132" s="24" t="s">
        <v>156</v>
      </c>
      <c r="E132" s="25">
        <v>60.300000000000004</v>
      </c>
      <c r="F132" s="26">
        <v>5.27</v>
      </c>
      <c r="G132" s="27">
        <f t="shared" si="5"/>
        <v>317.77999999999997</v>
      </c>
    </row>
    <row r="133" spans="2:7" x14ac:dyDescent="0.25">
      <c r="B133" s="22">
        <v>113</v>
      </c>
      <c r="C133" s="23" t="s">
        <v>54</v>
      </c>
      <c r="D133" s="24" t="s">
        <v>156</v>
      </c>
      <c r="E133" s="25">
        <v>23.070000000000004</v>
      </c>
      <c r="F133" s="26">
        <v>6.07</v>
      </c>
      <c r="G133" s="27">
        <f t="shared" si="5"/>
        <v>140.03</v>
      </c>
    </row>
    <row r="134" spans="2:7" x14ac:dyDescent="0.25">
      <c r="B134" s="22">
        <v>114</v>
      </c>
      <c r="C134" s="23" t="s">
        <v>164</v>
      </c>
      <c r="D134" s="24" t="s">
        <v>156</v>
      </c>
      <c r="E134" s="25">
        <v>6.8200000000000012</v>
      </c>
      <c r="F134" s="26">
        <v>14.12</v>
      </c>
      <c r="G134" s="27">
        <f t="shared" si="5"/>
        <v>96.3</v>
      </c>
    </row>
    <row r="135" spans="2:7" ht="15.75" thickBot="1" x14ac:dyDescent="0.3">
      <c r="B135" s="28">
        <v>115</v>
      </c>
      <c r="C135" s="29" t="s">
        <v>77</v>
      </c>
      <c r="D135" s="30" t="s">
        <v>156</v>
      </c>
      <c r="E135" s="31">
        <v>7.0799999999999992</v>
      </c>
      <c r="F135" s="32">
        <v>134.02000000000001</v>
      </c>
      <c r="G135" s="33">
        <f t="shared" si="5"/>
        <v>948.86</v>
      </c>
    </row>
    <row r="136" spans="2:7" x14ac:dyDescent="0.25">
      <c r="B136" s="67" t="s">
        <v>26</v>
      </c>
      <c r="C136" s="68" t="s">
        <v>27</v>
      </c>
      <c r="D136" s="69"/>
      <c r="E136" s="69"/>
      <c r="F136" s="69"/>
      <c r="G136" s="70">
        <f>SUM(G137:G145)</f>
        <v>3495.1300000000006</v>
      </c>
    </row>
    <row r="137" spans="2:7" x14ac:dyDescent="0.25">
      <c r="B137" s="22">
        <v>116</v>
      </c>
      <c r="C137" s="23" t="s">
        <v>40</v>
      </c>
      <c r="D137" s="24" t="s">
        <v>156</v>
      </c>
      <c r="E137" s="25">
        <v>8.06</v>
      </c>
      <c r="F137" s="26">
        <v>1.78</v>
      </c>
      <c r="G137" s="27">
        <f t="shared" ref="G137:G145" si="6">ROUND(E137*F137,2)</f>
        <v>14.35</v>
      </c>
    </row>
    <row r="138" spans="2:7" x14ac:dyDescent="0.25">
      <c r="B138" s="22">
        <v>117</v>
      </c>
      <c r="C138" s="23" t="s">
        <v>36</v>
      </c>
      <c r="D138" s="24" t="s">
        <v>158</v>
      </c>
      <c r="E138" s="25">
        <f>ROUND(14.911,2)</f>
        <v>14.91</v>
      </c>
      <c r="F138" s="26">
        <v>14.14</v>
      </c>
      <c r="G138" s="27">
        <f t="shared" si="6"/>
        <v>210.83</v>
      </c>
    </row>
    <row r="139" spans="2:7" x14ac:dyDescent="0.25">
      <c r="B139" s="22">
        <v>118</v>
      </c>
      <c r="C139" s="23" t="s">
        <v>41</v>
      </c>
      <c r="D139" s="24" t="s">
        <v>158</v>
      </c>
      <c r="E139" s="25">
        <f>ROUND(0.403,2)</f>
        <v>0.4</v>
      </c>
      <c r="F139" s="26">
        <v>134.1</v>
      </c>
      <c r="G139" s="27">
        <f t="shared" si="6"/>
        <v>53.64</v>
      </c>
    </row>
    <row r="140" spans="2:7" x14ac:dyDescent="0.25">
      <c r="B140" s="22">
        <v>119</v>
      </c>
      <c r="C140" s="23" t="s">
        <v>84</v>
      </c>
      <c r="D140" s="24" t="s">
        <v>158</v>
      </c>
      <c r="E140" s="25">
        <f>ROUND(4.034,2)</f>
        <v>4.03</v>
      </c>
      <c r="F140" s="26">
        <v>491.92</v>
      </c>
      <c r="G140" s="27">
        <f t="shared" si="6"/>
        <v>1982.44</v>
      </c>
    </row>
    <row r="141" spans="2:7" x14ac:dyDescent="0.25">
      <c r="B141" s="22">
        <v>120</v>
      </c>
      <c r="C141" s="23" t="s">
        <v>47</v>
      </c>
      <c r="D141" s="24" t="s">
        <v>156</v>
      </c>
      <c r="E141" s="25">
        <v>13.8</v>
      </c>
      <c r="F141" s="26">
        <v>19.149999999999999</v>
      </c>
      <c r="G141" s="27">
        <f t="shared" si="6"/>
        <v>264.27</v>
      </c>
    </row>
    <row r="142" spans="2:7" x14ac:dyDescent="0.25">
      <c r="B142" s="22">
        <v>121</v>
      </c>
      <c r="C142" s="23" t="s">
        <v>68</v>
      </c>
      <c r="D142" s="24" t="s">
        <v>156</v>
      </c>
      <c r="E142" s="25">
        <v>9</v>
      </c>
      <c r="F142" s="26">
        <v>36.4</v>
      </c>
      <c r="G142" s="27">
        <f t="shared" si="6"/>
        <v>327.60000000000002</v>
      </c>
    </row>
    <row r="143" spans="2:7" x14ac:dyDescent="0.25">
      <c r="B143" s="22">
        <v>122</v>
      </c>
      <c r="C143" s="23" t="s">
        <v>69</v>
      </c>
      <c r="D143" s="24" t="s">
        <v>156</v>
      </c>
      <c r="E143" s="25">
        <v>9</v>
      </c>
      <c r="F143" s="26">
        <v>13.42</v>
      </c>
      <c r="G143" s="27">
        <f t="shared" si="6"/>
        <v>120.78</v>
      </c>
    </row>
    <row r="144" spans="2:7" x14ac:dyDescent="0.25">
      <c r="B144" s="22">
        <v>123</v>
      </c>
      <c r="C144" s="23" t="s">
        <v>117</v>
      </c>
      <c r="D144" s="24" t="s">
        <v>156</v>
      </c>
      <c r="E144" s="25">
        <v>19.760000000000002</v>
      </c>
      <c r="F144" s="26">
        <v>6.05</v>
      </c>
      <c r="G144" s="27">
        <f t="shared" si="6"/>
        <v>119.55</v>
      </c>
    </row>
    <row r="145" spans="2:7" ht="25.5" customHeight="1" x14ac:dyDescent="0.25">
      <c r="B145" s="22">
        <v>124</v>
      </c>
      <c r="C145" s="40" t="s">
        <v>85</v>
      </c>
      <c r="D145" s="24" t="s">
        <v>5</v>
      </c>
      <c r="E145" s="25">
        <v>1</v>
      </c>
      <c r="F145" s="26">
        <v>401.67</v>
      </c>
      <c r="G145" s="27">
        <f t="shared" si="6"/>
        <v>401.67</v>
      </c>
    </row>
    <row r="146" spans="2:7" x14ac:dyDescent="0.25">
      <c r="B146" s="75" t="s">
        <v>28</v>
      </c>
      <c r="C146" s="76" t="s">
        <v>29</v>
      </c>
      <c r="D146" s="77"/>
      <c r="E146" s="77"/>
      <c r="F146" s="77"/>
      <c r="G146" s="78">
        <f>SUM(G147:G157)</f>
        <v>2468.0299999999997</v>
      </c>
    </row>
    <row r="147" spans="2:7" x14ac:dyDescent="0.25">
      <c r="B147" s="22">
        <v>125</v>
      </c>
      <c r="C147" s="23" t="s">
        <v>86</v>
      </c>
      <c r="D147" s="24" t="s">
        <v>155</v>
      </c>
      <c r="E147" s="25">
        <v>2</v>
      </c>
      <c r="F147" s="26">
        <v>75.95</v>
      </c>
      <c r="G147" s="27">
        <f t="shared" ref="G147:G157" si="7">ROUND(E147*F147,2)</f>
        <v>151.9</v>
      </c>
    </row>
    <row r="148" spans="2:7" x14ac:dyDescent="0.25">
      <c r="B148" s="22">
        <v>126</v>
      </c>
      <c r="C148" s="23" t="s">
        <v>87</v>
      </c>
      <c r="D148" s="24" t="s">
        <v>5</v>
      </c>
      <c r="E148" s="25">
        <v>8</v>
      </c>
      <c r="F148" s="26">
        <v>36.869999999999997</v>
      </c>
      <c r="G148" s="27">
        <f t="shared" si="7"/>
        <v>294.95999999999998</v>
      </c>
    </row>
    <row r="149" spans="2:7" x14ac:dyDescent="0.25">
      <c r="B149" s="22">
        <v>127</v>
      </c>
      <c r="C149" s="23" t="s">
        <v>88</v>
      </c>
      <c r="D149" s="24" t="s">
        <v>155</v>
      </c>
      <c r="E149" s="25">
        <v>10</v>
      </c>
      <c r="F149" s="26">
        <v>5.39</v>
      </c>
      <c r="G149" s="27">
        <f t="shared" si="7"/>
        <v>53.9</v>
      </c>
    </row>
    <row r="150" spans="2:7" x14ac:dyDescent="0.25">
      <c r="B150" s="22">
        <v>128</v>
      </c>
      <c r="C150" s="23" t="s">
        <v>89</v>
      </c>
      <c r="D150" s="24" t="s">
        <v>155</v>
      </c>
      <c r="E150" s="25">
        <v>25</v>
      </c>
      <c r="F150" s="26">
        <v>8.64</v>
      </c>
      <c r="G150" s="27">
        <f t="shared" si="7"/>
        <v>216</v>
      </c>
    </row>
    <row r="151" spans="2:7" x14ac:dyDescent="0.25">
      <c r="B151" s="22">
        <v>129</v>
      </c>
      <c r="C151" s="23" t="s">
        <v>90</v>
      </c>
      <c r="D151" s="24" t="s">
        <v>155</v>
      </c>
      <c r="E151" s="25">
        <v>3</v>
      </c>
      <c r="F151" s="26">
        <v>10.28</v>
      </c>
      <c r="G151" s="27">
        <f t="shared" si="7"/>
        <v>30.84</v>
      </c>
    </row>
    <row r="152" spans="2:7" x14ac:dyDescent="0.25">
      <c r="B152" s="22">
        <v>130</v>
      </c>
      <c r="C152" s="23" t="s">
        <v>91</v>
      </c>
      <c r="D152" s="24" t="s">
        <v>5</v>
      </c>
      <c r="E152" s="25">
        <v>5</v>
      </c>
      <c r="F152" s="26">
        <v>44.21</v>
      </c>
      <c r="G152" s="27">
        <f t="shared" si="7"/>
        <v>221.05</v>
      </c>
    </row>
    <row r="153" spans="2:7" x14ac:dyDescent="0.25">
      <c r="B153" s="22">
        <v>131</v>
      </c>
      <c r="C153" s="23" t="s">
        <v>92</v>
      </c>
      <c r="D153" s="24" t="s">
        <v>5</v>
      </c>
      <c r="E153" s="25">
        <v>2</v>
      </c>
      <c r="F153" s="26">
        <v>14.29</v>
      </c>
      <c r="G153" s="27">
        <f t="shared" si="7"/>
        <v>28.58</v>
      </c>
    </row>
    <row r="154" spans="2:7" x14ac:dyDescent="0.25">
      <c r="B154" s="22">
        <v>132</v>
      </c>
      <c r="C154" s="23" t="s">
        <v>83</v>
      </c>
      <c r="D154" s="24" t="s">
        <v>155</v>
      </c>
      <c r="E154" s="25">
        <v>40</v>
      </c>
      <c r="F154" s="26">
        <v>13.27</v>
      </c>
      <c r="G154" s="27">
        <f t="shared" si="7"/>
        <v>530.79999999999995</v>
      </c>
    </row>
    <row r="155" spans="2:7" x14ac:dyDescent="0.25">
      <c r="B155" s="22">
        <v>133</v>
      </c>
      <c r="C155" s="23" t="s">
        <v>82</v>
      </c>
      <c r="D155" s="24" t="s">
        <v>5</v>
      </c>
      <c r="E155" s="25">
        <v>5</v>
      </c>
      <c r="F155" s="26">
        <v>85.02</v>
      </c>
      <c r="G155" s="27">
        <f t="shared" si="7"/>
        <v>425.1</v>
      </c>
    </row>
    <row r="156" spans="2:7" x14ac:dyDescent="0.25">
      <c r="B156" s="22">
        <v>134</v>
      </c>
      <c r="C156" s="23" t="s">
        <v>79</v>
      </c>
      <c r="D156" s="24" t="s">
        <v>156</v>
      </c>
      <c r="E156" s="25">
        <f>ROUND(0.7*0.7*5,2)</f>
        <v>2.4500000000000002</v>
      </c>
      <c r="F156" s="26">
        <v>90.49</v>
      </c>
      <c r="G156" s="27">
        <f t="shared" si="7"/>
        <v>221.7</v>
      </c>
    </row>
    <row r="157" spans="2:7" x14ac:dyDescent="0.25">
      <c r="B157" s="22">
        <v>135</v>
      </c>
      <c r="C157" s="23" t="s">
        <v>93</v>
      </c>
      <c r="D157" s="24" t="s">
        <v>159</v>
      </c>
      <c r="E157" s="25">
        <v>2</v>
      </c>
      <c r="F157" s="26">
        <v>146.6</v>
      </c>
      <c r="G157" s="27">
        <f t="shared" si="7"/>
        <v>293.2</v>
      </c>
    </row>
    <row r="158" spans="2:7" x14ac:dyDescent="0.25">
      <c r="B158" s="79" t="s">
        <v>30</v>
      </c>
      <c r="C158" s="80" t="s">
        <v>31</v>
      </c>
      <c r="D158" s="81"/>
      <c r="E158" s="81"/>
      <c r="F158" s="81"/>
      <c r="G158" s="82">
        <f>SUM(G159:G166)</f>
        <v>5545.7000000000007</v>
      </c>
    </row>
    <row r="159" spans="2:7" x14ac:dyDescent="0.25">
      <c r="B159" s="22">
        <v>136</v>
      </c>
      <c r="C159" s="23" t="s">
        <v>94</v>
      </c>
      <c r="D159" s="24" t="s">
        <v>5</v>
      </c>
      <c r="E159" s="54">
        <v>20</v>
      </c>
      <c r="F159" s="26">
        <v>42.13</v>
      </c>
      <c r="G159" s="27">
        <f t="shared" ref="G159:G166" si="8">ROUND(E159*F159,2)</f>
        <v>842.6</v>
      </c>
    </row>
    <row r="160" spans="2:7" x14ac:dyDescent="0.25">
      <c r="B160" s="22">
        <v>137</v>
      </c>
      <c r="C160" s="23" t="s">
        <v>95</v>
      </c>
      <c r="D160" s="24" t="s">
        <v>5</v>
      </c>
      <c r="E160" s="25">
        <v>14</v>
      </c>
      <c r="F160" s="26">
        <v>39.880000000000003</v>
      </c>
      <c r="G160" s="27">
        <f t="shared" si="8"/>
        <v>558.32000000000005</v>
      </c>
    </row>
    <row r="161" spans="1:12" x14ac:dyDescent="0.25">
      <c r="B161" s="22">
        <v>138</v>
      </c>
      <c r="C161" s="23" t="s">
        <v>96</v>
      </c>
      <c r="D161" s="24" t="s">
        <v>5</v>
      </c>
      <c r="E161" s="25">
        <v>2</v>
      </c>
      <c r="F161" s="26">
        <v>56.62</v>
      </c>
      <c r="G161" s="27">
        <f t="shared" si="8"/>
        <v>113.24</v>
      </c>
    </row>
    <row r="162" spans="1:12" x14ac:dyDescent="0.25">
      <c r="B162" s="22">
        <v>139</v>
      </c>
      <c r="C162" s="23" t="s">
        <v>97</v>
      </c>
      <c r="D162" s="24" t="s">
        <v>5</v>
      </c>
      <c r="E162" s="25">
        <v>11</v>
      </c>
      <c r="F162" s="26">
        <v>64.59</v>
      </c>
      <c r="G162" s="27">
        <f t="shared" si="8"/>
        <v>710.49</v>
      </c>
    </row>
    <row r="163" spans="1:12" ht="27" customHeight="1" x14ac:dyDescent="0.25">
      <c r="B163" s="22">
        <v>140</v>
      </c>
      <c r="C163" s="40" t="s">
        <v>98</v>
      </c>
      <c r="D163" s="24" t="s">
        <v>5</v>
      </c>
      <c r="E163" s="25">
        <v>1</v>
      </c>
      <c r="F163" s="26">
        <v>1706.9</v>
      </c>
      <c r="G163" s="27">
        <f t="shared" si="8"/>
        <v>1706.9</v>
      </c>
    </row>
    <row r="164" spans="1:12" ht="24.75" x14ac:dyDescent="0.25">
      <c r="B164" s="22">
        <v>141</v>
      </c>
      <c r="C164" s="40" t="s">
        <v>99</v>
      </c>
      <c r="D164" s="24" t="s">
        <v>5</v>
      </c>
      <c r="E164" s="25">
        <v>1</v>
      </c>
      <c r="F164" s="26">
        <v>836.73</v>
      </c>
      <c r="G164" s="27">
        <f t="shared" si="8"/>
        <v>836.73</v>
      </c>
    </row>
    <row r="165" spans="1:12" ht="18.75" customHeight="1" x14ac:dyDescent="0.25">
      <c r="B165" s="22">
        <v>142</v>
      </c>
      <c r="C165" s="172" t="s">
        <v>100</v>
      </c>
      <c r="D165" s="24" t="s">
        <v>5</v>
      </c>
      <c r="E165" s="25">
        <v>1</v>
      </c>
      <c r="F165" s="26">
        <v>352.68</v>
      </c>
      <c r="G165" s="27">
        <f t="shared" si="8"/>
        <v>352.68</v>
      </c>
    </row>
    <row r="166" spans="1:12" x14ac:dyDescent="0.25">
      <c r="B166" s="22">
        <v>143</v>
      </c>
      <c r="C166" s="23" t="s">
        <v>101</v>
      </c>
      <c r="D166" s="24" t="s">
        <v>5</v>
      </c>
      <c r="E166" s="25">
        <v>1</v>
      </c>
      <c r="F166" s="26">
        <v>424.74</v>
      </c>
      <c r="G166" s="27">
        <f t="shared" si="8"/>
        <v>424.74</v>
      </c>
    </row>
    <row r="167" spans="1:12" x14ac:dyDescent="0.25">
      <c r="B167" s="83" t="s">
        <v>32</v>
      </c>
      <c r="C167" s="84" t="s">
        <v>123</v>
      </c>
      <c r="D167" s="85"/>
      <c r="E167" s="85"/>
      <c r="F167" s="85"/>
      <c r="G167" s="86">
        <f>SUM(G168:G172)</f>
        <v>7744.34</v>
      </c>
    </row>
    <row r="168" spans="1:12" ht="24.75" x14ac:dyDescent="0.25">
      <c r="B168" s="22">
        <v>144</v>
      </c>
      <c r="C168" s="40" t="s">
        <v>110</v>
      </c>
      <c r="D168" s="24" t="s">
        <v>158</v>
      </c>
      <c r="E168" s="38">
        <v>134.39999999999998</v>
      </c>
      <c r="F168" s="26">
        <v>14.14</v>
      </c>
      <c r="G168" s="27">
        <f>ROUND(E168*F168,2)</f>
        <v>1900.42</v>
      </c>
    </row>
    <row r="169" spans="1:12" ht="24.75" x14ac:dyDescent="0.25">
      <c r="B169" s="22">
        <v>145</v>
      </c>
      <c r="C169" s="40" t="s">
        <v>111</v>
      </c>
      <c r="D169" s="24" t="s">
        <v>158</v>
      </c>
      <c r="E169" s="38">
        <v>134.39999999999998</v>
      </c>
      <c r="F169" s="26">
        <v>11.12</v>
      </c>
      <c r="G169" s="27">
        <f>ROUND(E169*F169,2)</f>
        <v>1494.53</v>
      </c>
    </row>
    <row r="170" spans="1:12" x14ac:dyDescent="0.25">
      <c r="B170" s="22">
        <v>146</v>
      </c>
      <c r="C170" s="163" t="s">
        <v>233</v>
      </c>
      <c r="D170" s="24" t="s">
        <v>129</v>
      </c>
      <c r="E170" s="25">
        <v>1</v>
      </c>
      <c r="F170" s="26">
        <v>550</v>
      </c>
      <c r="G170" s="27">
        <f>ROUND(E170*F170,2)</f>
        <v>550</v>
      </c>
    </row>
    <row r="171" spans="1:12" ht="30.75" customHeight="1" x14ac:dyDescent="0.25">
      <c r="B171" s="39">
        <v>147</v>
      </c>
      <c r="C171" s="40" t="s">
        <v>216</v>
      </c>
      <c r="D171" s="41" t="s">
        <v>156</v>
      </c>
      <c r="E171" s="42">
        <v>1340</v>
      </c>
      <c r="F171" s="87">
        <v>2.5</v>
      </c>
      <c r="G171" s="44">
        <f>ROUND(E171*F171,2)</f>
        <v>3350</v>
      </c>
    </row>
    <row r="172" spans="1:12" x14ac:dyDescent="0.25">
      <c r="B172" s="22">
        <v>148</v>
      </c>
      <c r="C172" s="23" t="s">
        <v>121</v>
      </c>
      <c r="D172" s="24" t="s">
        <v>129</v>
      </c>
      <c r="E172" s="25">
        <v>1</v>
      </c>
      <c r="F172" s="26">
        <v>449.39</v>
      </c>
      <c r="G172" s="27">
        <f>ROUND(E172*F172,2)</f>
        <v>449.39</v>
      </c>
    </row>
    <row r="173" spans="1:12" x14ac:dyDescent="0.25">
      <c r="B173" s="88" t="s">
        <v>122</v>
      </c>
      <c r="C173" s="89" t="s">
        <v>106</v>
      </c>
      <c r="D173" s="90"/>
      <c r="E173" s="90"/>
      <c r="F173" s="90"/>
      <c r="G173" s="91">
        <f>SUM(G174:G186)</f>
        <v>33902.270000000004</v>
      </c>
    </row>
    <row r="174" spans="1:12" x14ac:dyDescent="0.25">
      <c r="B174" s="22">
        <v>149</v>
      </c>
      <c r="C174" s="23" t="s">
        <v>103</v>
      </c>
      <c r="D174" s="24" t="s">
        <v>158</v>
      </c>
      <c r="E174" s="38">
        <f>ROUND(8*50*0.5,2)</f>
        <v>200</v>
      </c>
      <c r="F174" s="26">
        <v>14.14</v>
      </c>
      <c r="G174" s="27">
        <f t="shared" ref="G174:G186" si="9">ROUND(E174*F174,2)</f>
        <v>2828</v>
      </c>
    </row>
    <row r="175" spans="1:12" s="14" customFormat="1" x14ac:dyDescent="0.25">
      <c r="A175" s="12"/>
      <c r="B175" s="92">
        <v>150</v>
      </c>
      <c r="C175" s="93" t="s">
        <v>104</v>
      </c>
      <c r="D175" s="94" t="s">
        <v>158</v>
      </c>
      <c r="E175" s="95">
        <f>ROUND(((E6*0.35*3.3)-E174)*0.8,2)</f>
        <v>1653.09</v>
      </c>
      <c r="F175" s="26">
        <v>11.12</v>
      </c>
      <c r="G175" s="96">
        <f t="shared" si="9"/>
        <v>18382.36</v>
      </c>
      <c r="H175" s="12"/>
      <c r="I175" s="12"/>
      <c r="J175" s="12"/>
      <c r="K175" s="12"/>
      <c r="L175" s="12"/>
    </row>
    <row r="176" spans="1:12" x14ac:dyDescent="0.25">
      <c r="B176" s="22">
        <v>151</v>
      </c>
      <c r="C176" s="23" t="s">
        <v>107</v>
      </c>
      <c r="D176" s="24" t="s">
        <v>158</v>
      </c>
      <c r="E176" s="95">
        <v>150</v>
      </c>
      <c r="F176" s="26">
        <v>25</v>
      </c>
      <c r="G176" s="27">
        <f t="shared" si="9"/>
        <v>3750</v>
      </c>
    </row>
    <row r="177" spans="2:7" x14ac:dyDescent="0.25">
      <c r="B177" s="22">
        <v>152</v>
      </c>
      <c r="C177" s="23" t="s">
        <v>108</v>
      </c>
      <c r="D177" s="24" t="s">
        <v>109</v>
      </c>
      <c r="E177" s="38">
        <v>1</v>
      </c>
      <c r="F177" s="26">
        <v>1361.5</v>
      </c>
      <c r="G177" s="27">
        <f t="shared" si="9"/>
        <v>1361.5</v>
      </c>
    </row>
    <row r="178" spans="2:7" x14ac:dyDescent="0.25">
      <c r="B178" s="22">
        <v>153</v>
      </c>
      <c r="C178" s="23" t="s">
        <v>33</v>
      </c>
      <c r="D178" s="24" t="s">
        <v>5</v>
      </c>
      <c r="E178" s="25">
        <v>1</v>
      </c>
      <c r="F178" s="26">
        <v>1000</v>
      </c>
      <c r="G178" s="27">
        <f t="shared" si="9"/>
        <v>1000</v>
      </c>
    </row>
    <row r="179" spans="2:7" ht="24.75" x14ac:dyDescent="0.25">
      <c r="B179" s="22">
        <v>154</v>
      </c>
      <c r="C179" s="40" t="s">
        <v>34</v>
      </c>
      <c r="D179" s="24" t="s">
        <v>156</v>
      </c>
      <c r="E179" s="25">
        <v>1</v>
      </c>
      <c r="F179" s="26">
        <v>117.93</v>
      </c>
      <c r="G179" s="27">
        <f t="shared" si="9"/>
        <v>117.93</v>
      </c>
    </row>
    <row r="180" spans="2:7" s="12" customFormat="1" x14ac:dyDescent="0.25">
      <c r="B180" s="92">
        <v>155</v>
      </c>
      <c r="C180" s="93" t="s">
        <v>35</v>
      </c>
      <c r="D180" s="94" t="s">
        <v>5</v>
      </c>
      <c r="E180" s="54">
        <v>1</v>
      </c>
      <c r="F180" s="26">
        <v>550</v>
      </c>
      <c r="G180" s="96">
        <f t="shared" si="9"/>
        <v>550</v>
      </c>
    </row>
    <row r="181" spans="2:7" x14ac:dyDescent="0.25">
      <c r="B181" s="22">
        <v>156</v>
      </c>
      <c r="C181" s="97" t="s">
        <v>152</v>
      </c>
      <c r="D181" s="98" t="s">
        <v>156</v>
      </c>
      <c r="E181" s="99">
        <f>80*3</f>
        <v>240</v>
      </c>
      <c r="F181" s="43">
        <v>5.1100000000000003</v>
      </c>
      <c r="G181" s="27">
        <f t="shared" si="9"/>
        <v>1226.4000000000001</v>
      </c>
    </row>
    <row r="182" spans="2:7" x14ac:dyDescent="0.25">
      <c r="B182" s="22">
        <v>157</v>
      </c>
      <c r="C182" s="100" t="s">
        <v>145</v>
      </c>
      <c r="D182" s="101" t="s">
        <v>143</v>
      </c>
      <c r="E182" s="102">
        <v>1</v>
      </c>
      <c r="F182" s="103">
        <v>800</v>
      </c>
      <c r="G182" s="27">
        <f t="shared" si="9"/>
        <v>800</v>
      </c>
    </row>
    <row r="183" spans="2:7" ht="24.75" x14ac:dyDescent="0.25">
      <c r="B183" s="39">
        <v>158</v>
      </c>
      <c r="C183" s="104" t="s">
        <v>144</v>
      </c>
      <c r="D183" s="101" t="s">
        <v>158</v>
      </c>
      <c r="E183" s="99">
        <f>0.5*3*40</f>
        <v>60</v>
      </c>
      <c r="F183" s="43">
        <v>14.52</v>
      </c>
      <c r="G183" s="27">
        <f t="shared" si="9"/>
        <v>871.2</v>
      </c>
    </row>
    <row r="184" spans="2:7" ht="36" x14ac:dyDescent="0.25">
      <c r="B184" s="39">
        <v>159</v>
      </c>
      <c r="C184" s="105" t="s">
        <v>162</v>
      </c>
      <c r="D184" s="106" t="s">
        <v>155</v>
      </c>
      <c r="E184" s="107">
        <v>8</v>
      </c>
      <c r="F184" s="43">
        <v>258.11</v>
      </c>
      <c r="G184" s="27">
        <f t="shared" si="9"/>
        <v>2064.88</v>
      </c>
    </row>
    <row r="185" spans="2:7" s="12" customFormat="1" ht="24" x14ac:dyDescent="0.25">
      <c r="B185" s="39">
        <v>160</v>
      </c>
      <c r="C185" s="108" t="s">
        <v>151</v>
      </c>
      <c r="D185" s="94" t="s">
        <v>5</v>
      </c>
      <c r="E185" s="54">
        <v>1</v>
      </c>
      <c r="F185" s="103">
        <v>300</v>
      </c>
      <c r="G185" s="27">
        <f t="shared" si="9"/>
        <v>300</v>
      </c>
    </row>
    <row r="186" spans="2:7" x14ac:dyDescent="0.25">
      <c r="B186" s="22">
        <v>161</v>
      </c>
      <c r="C186" s="23" t="s">
        <v>163</v>
      </c>
      <c r="D186" s="24" t="s">
        <v>143</v>
      </c>
      <c r="E186" s="25">
        <v>1</v>
      </c>
      <c r="F186" s="103">
        <v>650</v>
      </c>
      <c r="G186" s="27">
        <f t="shared" si="9"/>
        <v>650</v>
      </c>
    </row>
    <row r="187" spans="2:7" x14ac:dyDescent="0.25">
      <c r="B187" s="109" t="s">
        <v>146</v>
      </c>
      <c r="C187" s="110" t="s">
        <v>225</v>
      </c>
      <c r="D187" s="110"/>
      <c r="E187" s="110"/>
      <c r="F187" s="110"/>
      <c r="G187" s="165">
        <f>SUM(G188:G234)</f>
        <v>197174.27000000002</v>
      </c>
    </row>
    <row r="188" spans="2:7" ht="42.75" customHeight="1" x14ac:dyDescent="0.25">
      <c r="B188" s="39">
        <v>162</v>
      </c>
      <c r="C188" s="40" t="s">
        <v>214</v>
      </c>
      <c r="D188" s="41" t="s">
        <v>143</v>
      </c>
      <c r="E188" s="42">
        <v>1</v>
      </c>
      <c r="F188" s="43">
        <v>2000</v>
      </c>
      <c r="G188" s="44">
        <f t="shared" ref="G188:G234" si="10">ROUND(E188*F188,2)</f>
        <v>2000</v>
      </c>
    </row>
    <row r="189" spans="2:7" x14ac:dyDescent="0.25">
      <c r="B189" s="39">
        <v>163</v>
      </c>
      <c r="C189" s="23" t="s">
        <v>140</v>
      </c>
      <c r="D189" s="24" t="s">
        <v>5</v>
      </c>
      <c r="E189" s="25">
        <v>6</v>
      </c>
      <c r="F189" s="103">
        <v>243.10000000000002</v>
      </c>
      <c r="G189" s="27">
        <f t="shared" si="10"/>
        <v>1458.6</v>
      </c>
    </row>
    <row r="190" spans="2:7" x14ac:dyDescent="0.25">
      <c r="B190" s="39">
        <v>164</v>
      </c>
      <c r="C190" s="23" t="s">
        <v>141</v>
      </c>
      <c r="D190" s="24" t="s">
        <v>5</v>
      </c>
      <c r="E190" s="25">
        <v>6</v>
      </c>
      <c r="F190" s="103">
        <v>46.2</v>
      </c>
      <c r="G190" s="27">
        <f t="shared" si="10"/>
        <v>277.2</v>
      </c>
    </row>
    <row r="191" spans="2:7" ht="28.5" customHeight="1" x14ac:dyDescent="0.25">
      <c r="B191" s="39">
        <v>165</v>
      </c>
      <c r="C191" s="40" t="s">
        <v>142</v>
      </c>
      <c r="D191" s="41" t="s">
        <v>129</v>
      </c>
      <c r="E191" s="25">
        <v>1</v>
      </c>
      <c r="F191" s="43">
        <v>2000</v>
      </c>
      <c r="G191" s="44">
        <f t="shared" si="10"/>
        <v>2000</v>
      </c>
    </row>
    <row r="192" spans="2:7" x14ac:dyDescent="0.25">
      <c r="B192" s="39">
        <v>166</v>
      </c>
      <c r="C192" s="93" t="s">
        <v>161</v>
      </c>
      <c r="D192" s="94" t="s">
        <v>143</v>
      </c>
      <c r="E192" s="54">
        <v>1</v>
      </c>
      <c r="F192" s="103">
        <v>500</v>
      </c>
      <c r="G192" s="27">
        <f t="shared" si="10"/>
        <v>500</v>
      </c>
    </row>
    <row r="193" spans="2:7" ht="28.5" customHeight="1" x14ac:dyDescent="0.25">
      <c r="B193" s="39">
        <v>167</v>
      </c>
      <c r="C193" s="111" t="s">
        <v>172</v>
      </c>
      <c r="D193" s="24" t="s">
        <v>5</v>
      </c>
      <c r="E193" s="54">
        <v>1</v>
      </c>
      <c r="F193" s="43">
        <v>28000</v>
      </c>
      <c r="G193" s="44">
        <f t="shared" si="10"/>
        <v>28000</v>
      </c>
    </row>
    <row r="194" spans="2:7" ht="39.75" customHeight="1" x14ac:dyDescent="0.25">
      <c r="B194" s="39">
        <v>168</v>
      </c>
      <c r="C194" s="105" t="s">
        <v>173</v>
      </c>
      <c r="D194" s="41" t="s">
        <v>5</v>
      </c>
      <c r="E194" s="107">
        <v>1</v>
      </c>
      <c r="F194" s="43">
        <v>14500</v>
      </c>
      <c r="G194" s="44">
        <f t="shared" si="10"/>
        <v>14500</v>
      </c>
    </row>
    <row r="195" spans="2:7" ht="45" customHeight="1" x14ac:dyDescent="0.25">
      <c r="B195" s="39">
        <v>169</v>
      </c>
      <c r="C195" s="105" t="s">
        <v>222</v>
      </c>
      <c r="D195" s="41" t="s">
        <v>5</v>
      </c>
      <c r="E195" s="107">
        <v>3</v>
      </c>
      <c r="F195" s="43">
        <v>17232.04</v>
      </c>
      <c r="G195" s="44">
        <f t="shared" si="10"/>
        <v>51696.12</v>
      </c>
    </row>
    <row r="196" spans="2:7" x14ac:dyDescent="0.25">
      <c r="B196" s="39">
        <v>170</v>
      </c>
      <c r="C196" s="105" t="s">
        <v>179</v>
      </c>
      <c r="D196" s="41" t="s">
        <v>143</v>
      </c>
      <c r="E196" s="107">
        <v>1</v>
      </c>
      <c r="F196" s="43">
        <v>60947.35</v>
      </c>
      <c r="G196" s="44">
        <f t="shared" si="10"/>
        <v>60947.35</v>
      </c>
    </row>
    <row r="197" spans="2:7" ht="31.5" customHeight="1" x14ac:dyDescent="0.25">
      <c r="B197" s="39">
        <v>171</v>
      </c>
      <c r="C197" s="105" t="s">
        <v>218</v>
      </c>
      <c r="D197" s="41" t="s">
        <v>143</v>
      </c>
      <c r="E197" s="107">
        <v>1</v>
      </c>
      <c r="F197" s="43">
        <v>5500</v>
      </c>
      <c r="G197" s="112">
        <f t="shared" si="10"/>
        <v>5500</v>
      </c>
    </row>
    <row r="198" spans="2:7" ht="24" x14ac:dyDescent="0.25">
      <c r="B198" s="39">
        <v>172</v>
      </c>
      <c r="C198" s="105" t="s">
        <v>213</v>
      </c>
      <c r="D198" s="41" t="s">
        <v>143</v>
      </c>
      <c r="E198" s="107">
        <v>1</v>
      </c>
      <c r="F198" s="43">
        <v>940</v>
      </c>
      <c r="G198" s="112">
        <f t="shared" si="10"/>
        <v>940</v>
      </c>
    </row>
    <row r="199" spans="2:7" ht="29.25" customHeight="1" x14ac:dyDescent="0.25">
      <c r="B199" s="39">
        <v>173</v>
      </c>
      <c r="C199" s="105" t="s">
        <v>221</v>
      </c>
      <c r="D199" s="41" t="s">
        <v>5</v>
      </c>
      <c r="E199" s="107">
        <v>11</v>
      </c>
      <c r="F199" s="43">
        <v>180</v>
      </c>
      <c r="G199" s="112">
        <f t="shared" si="10"/>
        <v>1980</v>
      </c>
    </row>
    <row r="200" spans="2:7" ht="24" x14ac:dyDescent="0.25">
      <c r="B200" s="39">
        <v>174</v>
      </c>
      <c r="C200" s="105" t="s">
        <v>215</v>
      </c>
      <c r="D200" s="41" t="s">
        <v>5</v>
      </c>
      <c r="E200" s="107">
        <v>3</v>
      </c>
      <c r="F200" s="43">
        <v>2000</v>
      </c>
      <c r="G200" s="112">
        <f t="shared" si="10"/>
        <v>6000</v>
      </c>
    </row>
    <row r="201" spans="2:7" x14ac:dyDescent="0.25">
      <c r="B201" s="39">
        <v>175</v>
      </c>
      <c r="C201" s="105" t="s">
        <v>183</v>
      </c>
      <c r="D201" s="41" t="s">
        <v>5</v>
      </c>
      <c r="E201" s="107">
        <f>2+3</f>
        <v>5</v>
      </c>
      <c r="F201" s="43">
        <v>50</v>
      </c>
      <c r="G201" s="112">
        <f t="shared" si="10"/>
        <v>250</v>
      </c>
    </row>
    <row r="202" spans="2:7" x14ac:dyDescent="0.25">
      <c r="B202" s="39">
        <v>176</v>
      </c>
      <c r="C202" s="105" t="s">
        <v>175</v>
      </c>
      <c r="D202" s="41" t="s">
        <v>5</v>
      </c>
      <c r="E202" s="107">
        <f>2+3</f>
        <v>5</v>
      </c>
      <c r="F202" s="43">
        <v>25</v>
      </c>
      <c r="G202" s="112">
        <f t="shared" si="10"/>
        <v>125</v>
      </c>
    </row>
    <row r="203" spans="2:7" ht="36" x14ac:dyDescent="0.25">
      <c r="B203" s="39">
        <v>177</v>
      </c>
      <c r="C203" s="105" t="s">
        <v>176</v>
      </c>
      <c r="D203" s="41" t="s">
        <v>5</v>
      </c>
      <c r="E203" s="107">
        <v>12</v>
      </c>
      <c r="F203" s="43">
        <v>350</v>
      </c>
      <c r="G203" s="112">
        <f t="shared" si="10"/>
        <v>4200</v>
      </c>
    </row>
    <row r="204" spans="2:7" ht="36" x14ac:dyDescent="0.25">
      <c r="B204" s="39">
        <v>178</v>
      </c>
      <c r="C204" s="105" t="s">
        <v>177</v>
      </c>
      <c r="D204" s="41" t="s">
        <v>5</v>
      </c>
      <c r="E204" s="107">
        <v>3</v>
      </c>
      <c r="F204" s="43">
        <v>60</v>
      </c>
      <c r="G204" s="112">
        <f t="shared" si="10"/>
        <v>180</v>
      </c>
    </row>
    <row r="205" spans="2:7" ht="24" x14ac:dyDescent="0.25">
      <c r="B205" s="39">
        <v>179</v>
      </c>
      <c r="C205" s="105" t="s">
        <v>180</v>
      </c>
      <c r="D205" s="41" t="s">
        <v>5</v>
      </c>
      <c r="E205" s="107">
        <v>21</v>
      </c>
      <c r="F205" s="43">
        <v>40</v>
      </c>
      <c r="G205" s="112">
        <f t="shared" si="10"/>
        <v>840</v>
      </c>
    </row>
    <row r="206" spans="2:7" x14ac:dyDescent="0.25">
      <c r="B206" s="39">
        <v>180</v>
      </c>
      <c r="C206" s="105" t="s">
        <v>202</v>
      </c>
      <c r="D206" s="41" t="s">
        <v>5</v>
      </c>
      <c r="E206" s="107">
        <v>28</v>
      </c>
      <c r="F206" s="43">
        <v>7</v>
      </c>
      <c r="G206" s="112">
        <f t="shared" si="10"/>
        <v>196</v>
      </c>
    </row>
    <row r="207" spans="2:7" x14ac:dyDescent="0.25">
      <c r="B207" s="39">
        <v>181</v>
      </c>
      <c r="C207" s="105" t="s">
        <v>203</v>
      </c>
      <c r="D207" s="41" t="s">
        <v>5</v>
      </c>
      <c r="E207" s="107">
        <v>28</v>
      </c>
      <c r="F207" s="43">
        <v>9</v>
      </c>
      <c r="G207" s="112">
        <f t="shared" si="10"/>
        <v>252</v>
      </c>
    </row>
    <row r="208" spans="2:7" ht="24" x14ac:dyDescent="0.25">
      <c r="B208" s="39">
        <v>182</v>
      </c>
      <c r="C208" s="105" t="s">
        <v>199</v>
      </c>
      <c r="D208" s="41" t="s">
        <v>5</v>
      </c>
      <c r="E208" s="107">
        <v>6</v>
      </c>
      <c r="F208" s="43">
        <v>5</v>
      </c>
      <c r="G208" s="112">
        <f t="shared" si="10"/>
        <v>30</v>
      </c>
    </row>
    <row r="209" spans="2:7" ht="24" x14ac:dyDescent="0.25">
      <c r="B209" s="39">
        <v>183</v>
      </c>
      <c r="C209" s="105" t="s">
        <v>200</v>
      </c>
      <c r="D209" s="41" t="s">
        <v>5</v>
      </c>
      <c r="E209" s="107">
        <v>12</v>
      </c>
      <c r="F209" s="43">
        <v>6</v>
      </c>
      <c r="G209" s="112">
        <f t="shared" si="10"/>
        <v>72</v>
      </c>
    </row>
    <row r="210" spans="2:7" x14ac:dyDescent="0.25">
      <c r="B210" s="39">
        <v>184</v>
      </c>
      <c r="C210" s="105" t="s">
        <v>204</v>
      </c>
      <c r="D210" s="41" t="s">
        <v>5</v>
      </c>
      <c r="E210" s="107">
        <f>24+24+4</f>
        <v>52</v>
      </c>
      <c r="F210" s="43">
        <v>13</v>
      </c>
      <c r="G210" s="112">
        <f t="shared" si="10"/>
        <v>676</v>
      </c>
    </row>
    <row r="211" spans="2:7" ht="24" x14ac:dyDescent="0.25">
      <c r="B211" s="39">
        <v>185</v>
      </c>
      <c r="C211" s="105" t="s">
        <v>201</v>
      </c>
      <c r="D211" s="41" t="s">
        <v>5</v>
      </c>
      <c r="E211" s="107">
        <f>4*3*2*3</f>
        <v>72</v>
      </c>
      <c r="F211" s="43">
        <v>3</v>
      </c>
      <c r="G211" s="112">
        <f t="shared" si="10"/>
        <v>216</v>
      </c>
    </row>
    <row r="212" spans="2:7" x14ac:dyDescent="0.25">
      <c r="B212" s="39">
        <v>186</v>
      </c>
      <c r="C212" s="105" t="s">
        <v>194</v>
      </c>
      <c r="D212" s="41" t="s">
        <v>5</v>
      </c>
      <c r="E212" s="107">
        <f>12*3+12+6+12</f>
        <v>66</v>
      </c>
      <c r="F212" s="43">
        <v>6</v>
      </c>
      <c r="G212" s="112">
        <f t="shared" si="10"/>
        <v>396</v>
      </c>
    </row>
    <row r="213" spans="2:7" x14ac:dyDescent="0.25">
      <c r="B213" s="39">
        <v>187</v>
      </c>
      <c r="C213" s="105" t="s">
        <v>181</v>
      </c>
      <c r="D213" s="41" t="s">
        <v>5</v>
      </c>
      <c r="E213" s="107">
        <f>6*6</f>
        <v>36</v>
      </c>
      <c r="F213" s="43">
        <v>7</v>
      </c>
      <c r="G213" s="112">
        <f t="shared" si="10"/>
        <v>252</v>
      </c>
    </row>
    <row r="214" spans="2:7" x14ac:dyDescent="0.25">
      <c r="B214" s="39">
        <v>188</v>
      </c>
      <c r="C214" s="105" t="s">
        <v>190</v>
      </c>
      <c r="D214" s="41" t="s">
        <v>5</v>
      </c>
      <c r="E214" s="107">
        <v>3</v>
      </c>
      <c r="F214" s="43">
        <v>5</v>
      </c>
      <c r="G214" s="112">
        <f t="shared" si="10"/>
        <v>15</v>
      </c>
    </row>
    <row r="215" spans="2:7" x14ac:dyDescent="0.25">
      <c r="B215" s="39">
        <v>189</v>
      </c>
      <c r="C215" s="105" t="s">
        <v>182</v>
      </c>
      <c r="D215" s="41" t="s">
        <v>5</v>
      </c>
      <c r="E215" s="107">
        <v>3</v>
      </c>
      <c r="F215" s="43">
        <v>16</v>
      </c>
      <c r="G215" s="112">
        <f t="shared" si="10"/>
        <v>48</v>
      </c>
    </row>
    <row r="216" spans="2:7" ht="24" x14ac:dyDescent="0.25">
      <c r="B216" s="39">
        <v>190</v>
      </c>
      <c r="C216" s="105" t="s">
        <v>193</v>
      </c>
      <c r="D216" s="41" t="s">
        <v>5</v>
      </c>
      <c r="E216" s="107">
        <v>18</v>
      </c>
      <c r="F216" s="43">
        <v>35</v>
      </c>
      <c r="G216" s="112">
        <f t="shared" si="10"/>
        <v>630</v>
      </c>
    </row>
    <row r="217" spans="2:7" x14ac:dyDescent="0.25">
      <c r="B217" s="39">
        <v>191</v>
      </c>
      <c r="C217" s="105" t="s">
        <v>191</v>
      </c>
      <c r="D217" s="41" t="s">
        <v>5</v>
      </c>
      <c r="E217" s="107">
        <v>3</v>
      </c>
      <c r="F217" s="43">
        <v>170</v>
      </c>
      <c r="G217" s="112">
        <f t="shared" si="10"/>
        <v>510</v>
      </c>
    </row>
    <row r="218" spans="2:7" x14ac:dyDescent="0.25">
      <c r="B218" s="39">
        <v>192</v>
      </c>
      <c r="C218" s="105" t="s">
        <v>192</v>
      </c>
      <c r="D218" s="41" t="s">
        <v>5</v>
      </c>
      <c r="E218" s="107">
        <v>6</v>
      </c>
      <c r="F218" s="43">
        <v>160</v>
      </c>
      <c r="G218" s="112">
        <f t="shared" si="10"/>
        <v>960</v>
      </c>
    </row>
    <row r="219" spans="2:7" x14ac:dyDescent="0.25">
      <c r="B219" s="39">
        <v>193</v>
      </c>
      <c r="C219" s="105" t="s">
        <v>187</v>
      </c>
      <c r="D219" s="41" t="s">
        <v>5</v>
      </c>
      <c r="E219" s="107">
        <v>2</v>
      </c>
      <c r="F219" s="43">
        <v>40</v>
      </c>
      <c r="G219" s="112">
        <f t="shared" si="10"/>
        <v>80</v>
      </c>
    </row>
    <row r="220" spans="2:7" x14ac:dyDescent="0.25">
      <c r="B220" s="39">
        <v>194</v>
      </c>
      <c r="C220" s="105" t="s">
        <v>217</v>
      </c>
      <c r="D220" s="41" t="s">
        <v>5</v>
      </c>
      <c r="E220" s="107">
        <v>5</v>
      </c>
      <c r="F220" s="43">
        <v>28</v>
      </c>
      <c r="G220" s="112">
        <f t="shared" si="10"/>
        <v>140</v>
      </c>
    </row>
    <row r="221" spans="2:7" x14ac:dyDescent="0.25">
      <c r="B221" s="39">
        <v>195</v>
      </c>
      <c r="C221" s="105" t="s">
        <v>205</v>
      </c>
      <c r="D221" s="41" t="s">
        <v>5</v>
      </c>
      <c r="E221" s="107">
        <v>25</v>
      </c>
      <c r="F221" s="43">
        <v>10</v>
      </c>
      <c r="G221" s="112">
        <f t="shared" si="10"/>
        <v>250</v>
      </c>
    </row>
    <row r="222" spans="2:7" x14ac:dyDescent="0.25">
      <c r="B222" s="39">
        <v>196</v>
      </c>
      <c r="C222" s="105" t="s">
        <v>206</v>
      </c>
      <c r="D222" s="41" t="s">
        <v>5</v>
      </c>
      <c r="E222" s="107">
        <v>40</v>
      </c>
      <c r="F222" s="43">
        <v>1</v>
      </c>
      <c r="G222" s="112">
        <f t="shared" si="10"/>
        <v>40</v>
      </c>
    </row>
    <row r="223" spans="2:7" x14ac:dyDescent="0.25">
      <c r="B223" s="39">
        <v>197</v>
      </c>
      <c r="C223" s="105" t="s">
        <v>207</v>
      </c>
      <c r="D223" s="41" t="s">
        <v>5</v>
      </c>
      <c r="E223" s="107">
        <v>22</v>
      </c>
      <c r="F223" s="43">
        <v>2</v>
      </c>
      <c r="G223" s="112">
        <f t="shared" si="10"/>
        <v>44</v>
      </c>
    </row>
    <row r="224" spans="2:7" x14ac:dyDescent="0.25">
      <c r="B224" s="39">
        <v>198</v>
      </c>
      <c r="C224" s="105" t="s">
        <v>208</v>
      </c>
      <c r="D224" s="41" t="s">
        <v>5</v>
      </c>
      <c r="E224" s="107">
        <v>5</v>
      </c>
      <c r="F224" s="43">
        <v>18</v>
      </c>
      <c r="G224" s="112">
        <f t="shared" si="10"/>
        <v>90</v>
      </c>
    </row>
    <row r="225" spans="2:12" x14ac:dyDescent="0.25">
      <c r="B225" s="39">
        <v>199</v>
      </c>
      <c r="C225" s="105" t="s">
        <v>209</v>
      </c>
      <c r="D225" s="41" t="s">
        <v>5</v>
      </c>
      <c r="E225" s="107">
        <v>9</v>
      </c>
      <c r="F225" s="43">
        <v>15</v>
      </c>
      <c r="G225" s="112">
        <f t="shared" si="10"/>
        <v>135</v>
      </c>
    </row>
    <row r="226" spans="2:12" x14ac:dyDescent="0.25">
      <c r="B226" s="39">
        <v>200</v>
      </c>
      <c r="C226" s="105" t="s">
        <v>196</v>
      </c>
      <c r="D226" s="41" t="s">
        <v>189</v>
      </c>
      <c r="E226" s="107">
        <v>60</v>
      </c>
      <c r="F226" s="43">
        <v>6</v>
      </c>
      <c r="G226" s="112">
        <f t="shared" si="10"/>
        <v>360</v>
      </c>
    </row>
    <row r="227" spans="2:12" ht="36" x14ac:dyDescent="0.25">
      <c r="B227" s="39">
        <v>201</v>
      </c>
      <c r="C227" s="105" t="s">
        <v>188</v>
      </c>
      <c r="D227" s="41" t="s">
        <v>5</v>
      </c>
      <c r="E227" s="107">
        <v>3</v>
      </c>
      <c r="F227" s="43">
        <v>280</v>
      </c>
      <c r="G227" s="112">
        <f t="shared" si="10"/>
        <v>840</v>
      </c>
    </row>
    <row r="228" spans="2:12" ht="24" x14ac:dyDescent="0.25">
      <c r="B228" s="39">
        <v>202</v>
      </c>
      <c r="C228" s="105" t="s">
        <v>195</v>
      </c>
      <c r="D228" s="41" t="s">
        <v>5</v>
      </c>
      <c r="E228" s="107">
        <v>6</v>
      </c>
      <c r="F228" s="43">
        <v>150</v>
      </c>
      <c r="G228" s="112">
        <f t="shared" si="10"/>
        <v>900</v>
      </c>
    </row>
    <row r="229" spans="2:12" x14ac:dyDescent="0.25">
      <c r="B229" s="39">
        <v>203</v>
      </c>
      <c r="C229" s="105" t="s">
        <v>211</v>
      </c>
      <c r="D229" s="41" t="s">
        <v>189</v>
      </c>
      <c r="E229" s="107">
        <v>98</v>
      </c>
      <c r="F229" s="43">
        <v>2.5</v>
      </c>
      <c r="G229" s="112">
        <f t="shared" si="10"/>
        <v>245</v>
      </c>
    </row>
    <row r="230" spans="2:12" ht="28.5" customHeight="1" x14ac:dyDescent="0.25">
      <c r="B230" s="39">
        <v>204</v>
      </c>
      <c r="C230" s="105" t="s">
        <v>229</v>
      </c>
      <c r="D230" s="41" t="s">
        <v>189</v>
      </c>
      <c r="E230" s="107">
        <v>400</v>
      </c>
      <c r="F230" s="43">
        <f>1.6+0.5</f>
        <v>2.1</v>
      </c>
      <c r="G230" s="112">
        <f t="shared" si="10"/>
        <v>840</v>
      </c>
      <c r="L230" s="162"/>
    </row>
    <row r="231" spans="2:12" ht="38.25" customHeight="1" x14ac:dyDescent="0.25">
      <c r="B231" s="39">
        <v>205</v>
      </c>
      <c r="C231" s="105" t="s">
        <v>230</v>
      </c>
      <c r="D231" s="41" t="s">
        <v>189</v>
      </c>
      <c r="E231" s="107">
        <v>200</v>
      </c>
      <c r="F231" s="43">
        <f>3+1.11</f>
        <v>4.1100000000000003</v>
      </c>
      <c r="G231" s="112">
        <f t="shared" ref="G231" si="11">ROUND(E231*F231,2)</f>
        <v>822</v>
      </c>
      <c r="L231" s="162"/>
    </row>
    <row r="232" spans="2:12" ht="24" x14ac:dyDescent="0.25">
      <c r="B232" s="39">
        <v>206</v>
      </c>
      <c r="C232" s="105" t="s">
        <v>231</v>
      </c>
      <c r="D232" s="41" t="s">
        <v>189</v>
      </c>
      <c r="E232" s="107">
        <v>300</v>
      </c>
      <c r="F232" s="43">
        <f>4+1.82</f>
        <v>5.82</v>
      </c>
      <c r="G232" s="112">
        <f t="shared" si="10"/>
        <v>1746</v>
      </c>
      <c r="L232" s="162"/>
    </row>
    <row r="233" spans="2:12" ht="24" x14ac:dyDescent="0.25">
      <c r="B233" s="39">
        <v>207</v>
      </c>
      <c r="C233" s="105" t="s">
        <v>232</v>
      </c>
      <c r="D233" s="41" t="s">
        <v>189</v>
      </c>
      <c r="E233" s="107">
        <v>750</v>
      </c>
      <c r="F233" s="43">
        <f>4.5+1.2</f>
        <v>5.7</v>
      </c>
      <c r="G233" s="112">
        <f t="shared" si="10"/>
        <v>4275</v>
      </c>
      <c r="L233" s="162"/>
    </row>
    <row r="234" spans="2:12" x14ac:dyDescent="0.25">
      <c r="B234" s="39">
        <v>208</v>
      </c>
      <c r="C234" s="105" t="s">
        <v>223</v>
      </c>
      <c r="D234" s="98" t="s">
        <v>210</v>
      </c>
      <c r="E234" s="99">
        <v>24</v>
      </c>
      <c r="F234" s="43">
        <v>30</v>
      </c>
      <c r="G234" s="112">
        <f t="shared" si="10"/>
        <v>720</v>
      </c>
    </row>
    <row r="235" spans="2:12" x14ac:dyDescent="0.25">
      <c r="B235" s="113" t="s">
        <v>147</v>
      </c>
      <c r="C235" s="114" t="s">
        <v>128</v>
      </c>
      <c r="D235" s="114"/>
      <c r="E235" s="114"/>
      <c r="F235" s="114"/>
      <c r="G235" s="115">
        <f>SUM(G236)</f>
        <v>3500</v>
      </c>
    </row>
    <row r="236" spans="2:12" ht="31.5" customHeight="1" x14ac:dyDescent="0.25">
      <c r="B236" s="39">
        <v>209</v>
      </c>
      <c r="C236" s="108" t="s">
        <v>178</v>
      </c>
      <c r="D236" s="41" t="s">
        <v>129</v>
      </c>
      <c r="E236" s="42">
        <v>1</v>
      </c>
      <c r="F236" s="43">
        <v>3500</v>
      </c>
      <c r="G236" s="44">
        <f>ROUND(E236*F236,2)</f>
        <v>3500</v>
      </c>
    </row>
    <row r="237" spans="2:12" ht="30" customHeight="1" x14ac:dyDescent="0.25">
      <c r="B237" s="116" t="s">
        <v>148</v>
      </c>
      <c r="C237" s="164" t="s">
        <v>135</v>
      </c>
      <c r="D237" s="164"/>
      <c r="E237" s="164"/>
      <c r="F237" s="164"/>
      <c r="G237" s="118">
        <f>SUM(G238:G251)</f>
        <v>606</v>
      </c>
    </row>
    <row r="238" spans="2:12" x14ac:dyDescent="0.25">
      <c r="B238" s="22">
        <v>210</v>
      </c>
      <c r="C238" s="40" t="s">
        <v>130</v>
      </c>
      <c r="D238" s="24" t="s">
        <v>5</v>
      </c>
      <c r="E238" s="25">
        <v>3</v>
      </c>
      <c r="F238" s="103">
        <v>35</v>
      </c>
      <c r="G238" s="27">
        <f t="shared" ref="G238:G251" si="12">ROUND(E238*F238,2)</f>
        <v>105</v>
      </c>
    </row>
    <row r="239" spans="2:12" x14ac:dyDescent="0.25">
      <c r="B239" s="22">
        <v>211</v>
      </c>
      <c r="C239" s="40" t="s">
        <v>131</v>
      </c>
      <c r="D239" s="24" t="s">
        <v>5</v>
      </c>
      <c r="E239" s="25">
        <v>6</v>
      </c>
      <c r="F239" s="103">
        <v>10</v>
      </c>
      <c r="G239" s="27">
        <f t="shared" si="12"/>
        <v>60</v>
      </c>
    </row>
    <row r="240" spans="2:12" x14ac:dyDescent="0.25">
      <c r="B240" s="22">
        <v>212</v>
      </c>
      <c r="C240" s="40" t="s">
        <v>132</v>
      </c>
      <c r="D240" s="24" t="s">
        <v>5</v>
      </c>
      <c r="E240" s="25">
        <v>6</v>
      </c>
      <c r="F240" s="103">
        <v>10</v>
      </c>
      <c r="G240" s="27">
        <f t="shared" si="12"/>
        <v>60</v>
      </c>
    </row>
    <row r="241" spans="2:10" x14ac:dyDescent="0.25">
      <c r="B241" s="22">
        <v>213</v>
      </c>
      <c r="C241" s="40" t="s">
        <v>133</v>
      </c>
      <c r="D241" s="24" t="s">
        <v>5</v>
      </c>
      <c r="E241" s="25">
        <v>3</v>
      </c>
      <c r="F241" s="103">
        <v>15</v>
      </c>
      <c r="G241" s="27">
        <f t="shared" si="12"/>
        <v>45</v>
      </c>
    </row>
    <row r="242" spans="2:10" x14ac:dyDescent="0.25">
      <c r="B242" s="22">
        <v>214</v>
      </c>
      <c r="C242" s="40" t="s">
        <v>134</v>
      </c>
      <c r="D242" s="24" t="s">
        <v>5</v>
      </c>
      <c r="E242" s="25">
        <v>3</v>
      </c>
      <c r="F242" s="103">
        <v>15</v>
      </c>
      <c r="G242" s="27">
        <f t="shared" si="12"/>
        <v>45</v>
      </c>
    </row>
    <row r="243" spans="2:10" x14ac:dyDescent="0.25">
      <c r="B243" s="22">
        <v>215</v>
      </c>
      <c r="C243" s="40" t="s">
        <v>136</v>
      </c>
      <c r="D243" s="24" t="s">
        <v>5</v>
      </c>
      <c r="E243" s="25">
        <v>20</v>
      </c>
      <c r="F243" s="103">
        <v>1.5</v>
      </c>
      <c r="G243" s="27">
        <f t="shared" si="12"/>
        <v>30</v>
      </c>
    </row>
    <row r="244" spans="2:10" x14ac:dyDescent="0.25">
      <c r="B244" s="22">
        <v>216</v>
      </c>
      <c r="C244" s="40" t="s">
        <v>137</v>
      </c>
      <c r="D244" s="24" t="s">
        <v>5</v>
      </c>
      <c r="E244" s="25">
        <v>14</v>
      </c>
      <c r="F244" s="103">
        <v>1.5</v>
      </c>
      <c r="G244" s="27">
        <f t="shared" si="12"/>
        <v>21</v>
      </c>
    </row>
    <row r="245" spans="2:10" x14ac:dyDescent="0.25">
      <c r="B245" s="22">
        <v>217</v>
      </c>
      <c r="C245" s="40" t="s">
        <v>197</v>
      </c>
      <c r="D245" s="24" t="s">
        <v>5</v>
      </c>
      <c r="E245" s="25">
        <v>12</v>
      </c>
      <c r="F245" s="103">
        <v>1.5</v>
      </c>
      <c r="G245" s="27">
        <f t="shared" si="12"/>
        <v>18</v>
      </c>
    </row>
    <row r="246" spans="2:10" x14ac:dyDescent="0.25">
      <c r="B246" s="22">
        <v>218</v>
      </c>
      <c r="C246" s="40" t="s">
        <v>198</v>
      </c>
      <c r="D246" s="24" t="s">
        <v>5</v>
      </c>
      <c r="E246" s="25">
        <v>8</v>
      </c>
      <c r="F246" s="103">
        <v>1.5</v>
      </c>
      <c r="G246" s="27">
        <f t="shared" si="12"/>
        <v>12</v>
      </c>
    </row>
    <row r="247" spans="2:10" x14ac:dyDescent="0.25">
      <c r="B247" s="22">
        <v>219</v>
      </c>
      <c r="C247" s="40" t="s">
        <v>138</v>
      </c>
      <c r="D247" s="24" t="s">
        <v>5</v>
      </c>
      <c r="E247" s="54">
        <v>12</v>
      </c>
      <c r="F247" s="103">
        <v>10</v>
      </c>
      <c r="G247" s="27">
        <f t="shared" si="12"/>
        <v>120</v>
      </c>
    </row>
    <row r="248" spans="2:10" x14ac:dyDescent="0.25">
      <c r="B248" s="22">
        <v>220</v>
      </c>
      <c r="C248" s="40" t="s">
        <v>139</v>
      </c>
      <c r="D248" s="24" t="s">
        <v>5</v>
      </c>
      <c r="E248" s="25">
        <v>1</v>
      </c>
      <c r="F248" s="103">
        <v>50</v>
      </c>
      <c r="G248" s="27">
        <f t="shared" si="12"/>
        <v>50</v>
      </c>
    </row>
    <row r="249" spans="2:10" x14ac:dyDescent="0.25">
      <c r="B249" s="22">
        <v>221</v>
      </c>
      <c r="C249" s="108" t="s">
        <v>184</v>
      </c>
      <c r="D249" s="41" t="s">
        <v>5</v>
      </c>
      <c r="E249" s="42">
        <v>1</v>
      </c>
      <c r="F249" s="103">
        <v>10</v>
      </c>
      <c r="G249" s="27">
        <f t="shared" si="12"/>
        <v>10</v>
      </c>
    </row>
    <row r="250" spans="2:10" x14ac:dyDescent="0.25">
      <c r="B250" s="22">
        <v>222</v>
      </c>
      <c r="C250" s="108" t="s">
        <v>185</v>
      </c>
      <c r="D250" s="41" t="s">
        <v>5</v>
      </c>
      <c r="E250" s="42">
        <v>1</v>
      </c>
      <c r="F250" s="103">
        <v>10</v>
      </c>
      <c r="G250" s="27">
        <f t="shared" si="12"/>
        <v>10</v>
      </c>
    </row>
    <row r="251" spans="2:10" ht="24" x14ac:dyDescent="0.25">
      <c r="B251" s="22">
        <v>223</v>
      </c>
      <c r="C251" s="108" t="s">
        <v>186</v>
      </c>
      <c r="D251" s="41" t="s">
        <v>5</v>
      </c>
      <c r="E251" s="42">
        <v>1</v>
      </c>
      <c r="F251" s="103">
        <v>20</v>
      </c>
      <c r="G251" s="27">
        <f t="shared" si="12"/>
        <v>20</v>
      </c>
    </row>
    <row r="252" spans="2:10" ht="24.75" x14ac:dyDescent="0.25">
      <c r="B252" s="116" t="s">
        <v>226</v>
      </c>
      <c r="C252" s="117" t="s">
        <v>149</v>
      </c>
      <c r="D252" s="117"/>
      <c r="E252" s="117"/>
      <c r="F252" s="117"/>
      <c r="G252" s="119">
        <f>SUM(G253:G254)</f>
        <v>275</v>
      </c>
    </row>
    <row r="253" spans="2:10" ht="36.75" x14ac:dyDescent="0.25">
      <c r="B253" s="39">
        <v>224</v>
      </c>
      <c r="C253" s="40" t="s">
        <v>150</v>
      </c>
      <c r="D253" s="41" t="s">
        <v>143</v>
      </c>
      <c r="E253" s="42">
        <v>1</v>
      </c>
      <c r="F253" s="120">
        <v>200</v>
      </c>
      <c r="G253" s="121">
        <f>ROUND(E253*F253,2)</f>
        <v>200</v>
      </c>
    </row>
    <row r="254" spans="2:10" ht="15.75" thickBot="1" x14ac:dyDescent="0.3">
      <c r="B254" s="122">
        <v>225</v>
      </c>
      <c r="C254" s="123" t="s">
        <v>212</v>
      </c>
      <c r="D254" s="124" t="s">
        <v>189</v>
      </c>
      <c r="E254" s="125">
        <v>300</v>
      </c>
      <c r="F254" s="126">
        <v>0.25</v>
      </c>
      <c r="G254" s="127">
        <f>ROUND(E254*F254,2)</f>
        <v>75</v>
      </c>
    </row>
    <row r="255" spans="2:10" ht="15.75" thickBot="1" x14ac:dyDescent="0.3">
      <c r="B255" s="128"/>
      <c r="C255" s="17" t="s">
        <v>153</v>
      </c>
      <c r="D255" s="17"/>
      <c r="E255" s="129"/>
      <c r="F255" s="130" t="s">
        <v>154</v>
      </c>
      <c r="G255" s="131">
        <f>SUM(G12:G254)/2</f>
        <v>362180</v>
      </c>
      <c r="I255" s="16"/>
      <c r="J255" s="9"/>
    </row>
    <row r="256" spans="2:10" ht="15.75" thickBot="1" x14ac:dyDescent="0.3">
      <c r="B256" s="128"/>
      <c r="C256" s="132" t="s">
        <v>236</v>
      </c>
      <c r="D256" s="132"/>
      <c r="E256" s="129"/>
      <c r="F256" s="133" t="s">
        <v>154</v>
      </c>
      <c r="G256" s="131">
        <f>G255*0.14</f>
        <v>50705.200000000004</v>
      </c>
      <c r="I256" s="15"/>
    </row>
    <row r="257" spans="2:10" ht="15.75" thickBot="1" x14ac:dyDescent="0.3">
      <c r="B257" s="134"/>
      <c r="C257" s="17" t="s">
        <v>166</v>
      </c>
      <c r="D257" s="135"/>
      <c r="E257" s="135"/>
      <c r="F257" s="133" t="s">
        <v>154</v>
      </c>
      <c r="G257" s="131">
        <f>SUM(G255:G256)</f>
        <v>412885.2</v>
      </c>
      <c r="I257" s="16"/>
    </row>
    <row r="258" spans="2:10" ht="15.75" thickBot="1" x14ac:dyDescent="0.3">
      <c r="B258" s="136"/>
      <c r="C258" s="136"/>
      <c r="D258" s="136"/>
      <c r="E258" s="136"/>
      <c r="F258" s="137"/>
      <c r="G258" s="136"/>
    </row>
    <row r="259" spans="2:10" x14ac:dyDescent="0.25">
      <c r="B259" s="138"/>
      <c r="C259" s="139" t="s">
        <v>167</v>
      </c>
      <c r="D259" s="140"/>
      <c r="E259" s="140"/>
      <c r="F259" s="141" t="s">
        <v>154</v>
      </c>
      <c r="G259" s="142">
        <f>SUM(G260:G261)</f>
        <v>20314.8</v>
      </c>
    </row>
    <row r="260" spans="2:10" x14ac:dyDescent="0.25">
      <c r="B260" s="143"/>
      <c r="C260" s="144" t="s">
        <v>153</v>
      </c>
      <c r="D260" s="145"/>
      <c r="E260" s="145"/>
      <c r="F260" s="146" t="s">
        <v>154</v>
      </c>
      <c r="G260" s="147">
        <f>2970*6</f>
        <v>17820</v>
      </c>
    </row>
    <row r="261" spans="2:10" x14ac:dyDescent="0.25">
      <c r="B261" s="143"/>
      <c r="C261" s="144" t="s">
        <v>237</v>
      </c>
      <c r="D261" s="145"/>
      <c r="E261" s="145"/>
      <c r="F261" s="148" t="s">
        <v>154</v>
      </c>
      <c r="G261" s="149">
        <f>G260*0.14</f>
        <v>2494.8000000000002</v>
      </c>
    </row>
    <row r="262" spans="2:10" ht="15.75" thickBot="1" x14ac:dyDescent="0.3">
      <c r="B262" s="150"/>
      <c r="C262" s="151" t="s">
        <v>6</v>
      </c>
      <c r="D262" s="152"/>
      <c r="E262" s="152"/>
      <c r="F262" s="153" t="s">
        <v>154</v>
      </c>
      <c r="G262" s="154">
        <f>SUM(G260:G261)</f>
        <v>20314.8</v>
      </c>
    </row>
    <row r="263" spans="2:10" ht="15.75" thickBot="1" x14ac:dyDescent="0.3">
      <c r="B263" s="136"/>
      <c r="C263" s="155"/>
      <c r="D263" s="136"/>
      <c r="E263" s="136"/>
      <c r="F263" s="137"/>
      <c r="G263" s="136"/>
    </row>
    <row r="264" spans="2:10" x14ac:dyDescent="0.25">
      <c r="B264" s="138"/>
      <c r="C264" s="139" t="s">
        <v>168</v>
      </c>
      <c r="D264" s="140"/>
      <c r="E264" s="140"/>
      <c r="F264" s="156" t="s">
        <v>154</v>
      </c>
      <c r="G264" s="142">
        <f>SUM(G265:G266)</f>
        <v>0</v>
      </c>
      <c r="J264" s="9"/>
    </row>
    <row r="265" spans="2:10" x14ac:dyDescent="0.25">
      <c r="B265" s="143"/>
      <c r="C265" s="144" t="s">
        <v>153</v>
      </c>
      <c r="D265" s="145"/>
      <c r="E265" s="145"/>
      <c r="F265" s="146" t="s">
        <v>154</v>
      </c>
      <c r="G265" s="147">
        <v>0</v>
      </c>
    </row>
    <row r="266" spans="2:10" x14ac:dyDescent="0.25">
      <c r="B266" s="143"/>
      <c r="C266" s="144" t="s">
        <v>169</v>
      </c>
      <c r="D266" s="145"/>
      <c r="E266" s="145"/>
      <c r="F266" s="148" t="s">
        <v>154</v>
      </c>
      <c r="G266" s="149">
        <f>G265*0.12</f>
        <v>0</v>
      </c>
    </row>
    <row r="267" spans="2:10" ht="15.75" thickBot="1" x14ac:dyDescent="0.3">
      <c r="B267" s="150"/>
      <c r="C267" s="151" t="s">
        <v>6</v>
      </c>
      <c r="D267" s="152"/>
      <c r="E267" s="152"/>
      <c r="F267" s="153" t="s">
        <v>154</v>
      </c>
      <c r="G267" s="154">
        <f>SUM(G265:G266)</f>
        <v>0</v>
      </c>
    </row>
    <row r="268" spans="2:10" x14ac:dyDescent="0.25">
      <c r="B268" s="136"/>
      <c r="C268" s="136"/>
      <c r="D268" s="136"/>
      <c r="E268" s="136"/>
      <c r="F268" s="137"/>
      <c r="G268" s="136"/>
    </row>
    <row r="269" spans="2:10" ht="15.75" thickBot="1" x14ac:dyDescent="0.3">
      <c r="B269" s="136"/>
      <c r="C269" s="136"/>
      <c r="D269" s="136"/>
      <c r="E269" s="136"/>
      <c r="F269" s="137"/>
      <c r="G269" s="136"/>
    </row>
    <row r="270" spans="2:10" ht="15.75" thickBot="1" x14ac:dyDescent="0.3">
      <c r="B270" s="157" t="s">
        <v>102</v>
      </c>
      <c r="C270" s="158" t="s">
        <v>170</v>
      </c>
      <c r="D270" s="159"/>
      <c r="E270" s="159"/>
      <c r="F270" s="160" t="s">
        <v>154</v>
      </c>
      <c r="G270" s="161">
        <f>G255+G260+G265</f>
        <v>380000</v>
      </c>
    </row>
    <row r="271" spans="2:10" ht="15.75" thickBot="1" x14ac:dyDescent="0.3">
      <c r="B271" s="157" t="s">
        <v>102</v>
      </c>
      <c r="C271" s="158" t="s">
        <v>171</v>
      </c>
      <c r="D271" s="159"/>
      <c r="E271" s="159"/>
      <c r="F271" s="160" t="s">
        <v>154</v>
      </c>
      <c r="G271" s="154">
        <f>G257+G262+G267</f>
        <v>433200</v>
      </c>
      <c r="H271" s="11" t="s">
        <v>174</v>
      </c>
      <c r="J271" s="9"/>
    </row>
    <row r="274" spans="7:7" x14ac:dyDescent="0.25">
      <c r="G274" s="9"/>
    </row>
    <row r="275" spans="7:7" ht="21" customHeight="1" x14ac:dyDescent="0.25"/>
  </sheetData>
  <autoFilter ref="C1:C270"/>
  <mergeCells count="6">
    <mergeCell ref="B9:B11"/>
    <mergeCell ref="F9:F10"/>
    <mergeCell ref="B2:E2"/>
    <mergeCell ref="C3:E3"/>
    <mergeCell ref="C4:E4"/>
    <mergeCell ref="B7:E7"/>
  </mergeCells>
  <printOptions horizontalCentered="1"/>
  <pageMargins left="0.11811023622047245" right="0" top="0.74803149606299213" bottom="0.15748031496062992" header="0.31496062992125984" footer="0.31496062992125984"/>
  <pageSetup paperSize="9" scale="6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FINAL TABLA CANT PRECIOS </vt:lpstr>
      <vt:lpstr>'FINAL TABLA CANT PRECIOS '!Área_de_impresión</vt:lpstr>
      <vt:lpstr>'FINAL TABLA CANT PRECIOS '!Títulos_a_imprimir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Alexandra Trinidad Reyes Velastegui</cp:lastModifiedBy>
  <cp:lastPrinted>2016-12-01T14:17:28Z</cp:lastPrinted>
  <dcterms:created xsi:type="dcterms:W3CDTF">2011-05-18T20:50:01Z</dcterms:created>
  <dcterms:modified xsi:type="dcterms:W3CDTF">2016-12-01T14:18:06Z</dcterms:modified>
</cp:coreProperties>
</file>