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OS USUARIOS\Mis documentos\2019\BIDIII SALDO\BIDIII-FERUM-CNELMAN-OB-006 CIUDADELA SANTA FE\"/>
    </mc:Choice>
  </mc:AlternateContent>
  <bookViews>
    <workbookView xWindow="0" yWindow="0" windowWidth="19200" windowHeight="6765" tabRatio="887" firstSheet="2" activeTab="2"/>
  </bookViews>
  <sheets>
    <sheet name="CARATULA-DATOS" sheetId="1" state="hidden" r:id="rId1"/>
    <sheet name="MODELO DE PRESUPUESTO" sheetId="2" state="hidden" r:id="rId2"/>
    <sheet name="MODELO DE PRESUPUESTO (2)" sheetId="10" r:id="rId3"/>
    <sheet name="Presupuesto desglosado" sheetId="3" state="hidden" r:id="rId4"/>
    <sheet name="Datos para MEMORIA" sheetId="4" state="hidden" r:id="rId5"/>
    <sheet name="Datos para Formulario" sheetId="5" state="hidden" r:id="rId6"/>
    <sheet name="Datos para DISEÑO" sheetId="9" state="hidden" r:id="rId7"/>
    <sheet name="BASE DATOS MATERIALES" sheetId="6" state="hidden" r:id="rId8"/>
    <sheet name="BASE DE DATO MANO DE OBRA" sheetId="7" state="hidden" r:id="rId9"/>
    <sheet name="PESO DE MATERIALES" sheetId="8" state="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a" localSheetId="6">#REF!</definedName>
    <definedName name="\a" localSheetId="2">#REF!</definedName>
    <definedName name="\a">#REF!</definedName>
    <definedName name="\b" localSheetId="6">#REF!</definedName>
    <definedName name="\b" localSheetId="2">#REF!</definedName>
    <definedName name="\b">#REF!</definedName>
    <definedName name="_A90" localSheetId="6">#REF!</definedName>
    <definedName name="_A90" localSheetId="2">#REF!</definedName>
    <definedName name="_A90">#REF!</definedName>
    <definedName name="_Fill" localSheetId="6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'BASE DATOS MATERIALES'!$A$7:$EH$219</definedName>
    <definedName name="_xlnm._FilterDatabase" localSheetId="3" hidden="1">'Presupuesto desglosado'!$A$3:$I$64</definedName>
    <definedName name="_N2" localSheetId="6">#REF!</definedName>
    <definedName name="_N2" localSheetId="2">#REF!</definedName>
    <definedName name="_N2">#REF!</definedName>
    <definedName name="_N3" localSheetId="6">#REF!</definedName>
    <definedName name="_N3" localSheetId="2">#REF!</definedName>
    <definedName name="_N3">#REF!</definedName>
    <definedName name="_N4" localSheetId="6">#REF!</definedName>
    <definedName name="_N4" localSheetId="2">#REF!</definedName>
    <definedName name="_N4">#REF!</definedName>
    <definedName name="_N5" localSheetId="6">#REF!</definedName>
    <definedName name="_N5" localSheetId="2">#REF!</definedName>
    <definedName name="_N5">#REF!</definedName>
    <definedName name="_N6" localSheetId="6">#REF!</definedName>
    <definedName name="_N6" localSheetId="2">#REF!</definedName>
    <definedName name="_N6">#REF!</definedName>
    <definedName name="_N7" localSheetId="6">#REF!</definedName>
    <definedName name="_N7" localSheetId="2">#REF!</definedName>
    <definedName name="_N7">#REF!</definedName>
    <definedName name="_N9" localSheetId="6">#REF!</definedName>
    <definedName name="_N9" localSheetId="2">#REF!</definedName>
    <definedName name="_N9">#REF!</definedName>
    <definedName name="_NA1" localSheetId="6">#REF!</definedName>
    <definedName name="_NA1" localSheetId="2">#REF!</definedName>
    <definedName name="_NA1">#REF!</definedName>
    <definedName name="_NA10" localSheetId="6">#REF!</definedName>
    <definedName name="_NA10" localSheetId="2">#REF!</definedName>
    <definedName name="_NA10">#REF!</definedName>
    <definedName name="_NA2" localSheetId="6">#REF!</definedName>
    <definedName name="_NA2" localSheetId="2">#REF!</definedName>
    <definedName name="_NA2">#REF!</definedName>
    <definedName name="_NA3" localSheetId="6">#REF!</definedName>
    <definedName name="_NA3" localSheetId="2">#REF!</definedName>
    <definedName name="_NA3">#REF!</definedName>
    <definedName name="_NA4" localSheetId="6">#REF!</definedName>
    <definedName name="_NA4" localSheetId="2">#REF!</definedName>
    <definedName name="_NA4">#REF!</definedName>
    <definedName name="_NA5" localSheetId="6">#REF!</definedName>
    <definedName name="_NA5" localSheetId="2">#REF!</definedName>
    <definedName name="_NA5">#REF!</definedName>
    <definedName name="_NA6" localSheetId="6">#REF!</definedName>
    <definedName name="_NA6" localSheetId="2">#REF!</definedName>
    <definedName name="_NA6">#REF!</definedName>
    <definedName name="_NA7" localSheetId="6">#REF!</definedName>
    <definedName name="_NA7" localSheetId="2">#REF!</definedName>
    <definedName name="_NA7">#REF!</definedName>
    <definedName name="_NA8" localSheetId="6">#REF!</definedName>
    <definedName name="_NA8" localSheetId="2">#REF!</definedName>
    <definedName name="_NA8">#REF!</definedName>
    <definedName name="a" hidden="1">{"'Ene-Fac'!$A$2:$H$142"}</definedName>
    <definedName name="A1_" localSheetId="6">#REF!</definedName>
    <definedName name="A1_" localSheetId="4">#REF!</definedName>
    <definedName name="A1_" localSheetId="2">#REF!</definedName>
    <definedName name="A1_">#REF!</definedName>
    <definedName name="A10_" localSheetId="6">#REF!</definedName>
    <definedName name="A10_" localSheetId="4">#REF!</definedName>
    <definedName name="A10_" localSheetId="2">#REF!</definedName>
    <definedName name="A10_">#REF!</definedName>
    <definedName name="A2_" localSheetId="6">#REF!</definedName>
    <definedName name="A2_" localSheetId="4">#REF!</definedName>
    <definedName name="A2_" localSheetId="2">#REF!</definedName>
    <definedName name="A2_">#REF!</definedName>
    <definedName name="A3_" localSheetId="6">#REF!</definedName>
    <definedName name="A3_" localSheetId="4">#REF!</definedName>
    <definedName name="A3_" localSheetId="2">#REF!</definedName>
    <definedName name="A3_">#REF!</definedName>
    <definedName name="A4_" localSheetId="6">#REF!</definedName>
    <definedName name="A4_" localSheetId="4">#REF!</definedName>
    <definedName name="A4_" localSheetId="2">#REF!</definedName>
    <definedName name="A4_">#REF!</definedName>
    <definedName name="A5_" localSheetId="6">#REF!</definedName>
    <definedName name="A5_" localSheetId="4">#REF!</definedName>
    <definedName name="A5_" localSheetId="2">#REF!</definedName>
    <definedName name="A5_">#REF!</definedName>
    <definedName name="A6_" localSheetId="6">#REF!</definedName>
    <definedName name="A6_" localSheetId="4">#REF!</definedName>
    <definedName name="A6_" localSheetId="2">#REF!</definedName>
    <definedName name="A6_">#REF!</definedName>
    <definedName name="A7_" localSheetId="6">#REF!</definedName>
    <definedName name="A7_" localSheetId="4">#REF!</definedName>
    <definedName name="A7_" localSheetId="2">#REF!</definedName>
    <definedName name="A7_">#REF!</definedName>
    <definedName name="A8_" localSheetId="6">#REF!</definedName>
    <definedName name="A8_" localSheetId="4">#REF!</definedName>
    <definedName name="A8_" localSheetId="2">#REF!</definedName>
    <definedName name="A8_">#REF!</definedName>
    <definedName name="AA" localSheetId="6">#REF!</definedName>
    <definedName name="AA" localSheetId="2">#REF!</definedName>
    <definedName name="AA">#REF!</definedName>
    <definedName name="AD" localSheetId="6">#REF!</definedName>
    <definedName name="AD" localSheetId="2">#REF!</definedName>
    <definedName name="AD">#REF!</definedName>
    <definedName name="aixi2" localSheetId="6">#REF!</definedName>
    <definedName name="aixi2" localSheetId="2">#REF!</definedName>
    <definedName name="aixi2">#REF!</definedName>
    <definedName name="Ambato" hidden="1">{"'Ene-Fac'!$A$2:$H$142"}</definedName>
    <definedName name="_xlnm.Print_Area" localSheetId="0">'CARATULA-DATOS'!$A$1:$E$48</definedName>
    <definedName name="_xlnm.Print_Area" localSheetId="6">'Datos para DISEÑO'!$B$6:$S$15</definedName>
    <definedName name="_xlnm.Print_Area" localSheetId="1">'MODELO DE PRESUPUESTO'!$A$1:$H$304</definedName>
    <definedName name="_xlnm.Print_Area" localSheetId="2">'MODELO DE PRESUPUESTO (2)'!$A$1:$F$126</definedName>
    <definedName name="_xlnm.Print_Area" localSheetId="9">'PESO DE MATERIALES'!$C$1:$I$43</definedName>
    <definedName name="AS" localSheetId="6">#REF!</definedName>
    <definedName name="AS" localSheetId="2">#REF!</definedName>
    <definedName name="AS">#REF!</definedName>
    <definedName name="AUX" localSheetId="6">#REF!</definedName>
    <definedName name="AUX" localSheetId="2">#REF!</definedName>
    <definedName name="AUX">#REF!</definedName>
    <definedName name="auxi" localSheetId="6">#REF!</definedName>
    <definedName name="auxi" localSheetId="2">#REF!</definedName>
    <definedName name="auxi">#REF!</definedName>
    <definedName name="BB" localSheetId="6">#REF!</definedName>
    <definedName name="BB" localSheetId="2">#REF!</definedName>
    <definedName name="BB">#REF!</definedName>
    <definedName name="BBB" localSheetId="6" hidden="1">#REF!</definedName>
    <definedName name="BBB" localSheetId="2" hidden="1">#REF!</definedName>
    <definedName name="BBB" hidden="1">#REF!</definedName>
    <definedName name="BM" localSheetId="6">#REF!</definedName>
    <definedName name="BM" localSheetId="2">#REF!</definedName>
    <definedName name="BM">#REF!</definedName>
    <definedName name="BN" localSheetId="6">#REF!</definedName>
    <definedName name="BN" localSheetId="2">#REF!</definedName>
    <definedName name="BN">#REF!</definedName>
    <definedName name="BORRADO1" localSheetId="6">[1]DESPACHOS!#REF!,[1]DESPACHOS!#REF!,[1]DESPACHOS!$C$5:$AZ$34,[1]DESPACHOS!$C$45:$AZ$74,[1]DESPACHOS!$C$85:$AZ$114,[1]DESPACHOS!$C$125:$AZ$154</definedName>
    <definedName name="BORRADO1" localSheetId="2">[1]DESPACHOS!#REF!,[1]DESPACHOS!#REF!,[1]DESPACHOS!$C$5:$AZ$34,[1]DESPACHOS!$C$45:$AZ$74,[1]DESPACHOS!$C$85:$AZ$114,[1]DESPACHOS!$C$125:$AZ$154</definedName>
    <definedName name="BORRADO1">[1]DESPACHOS!#REF!,[1]DESPACHOS!#REF!,[1]DESPACHOS!$C$5:$AZ$34,[1]DESPACHOS!$C$45:$AZ$74,[1]DESPACHOS!$C$85:$AZ$114,[1]DESPACHOS!$C$125:$AZ$154</definedName>
    <definedName name="BORRADO2" localSheetId="6">[1]DESPACHOS!$C$165:$AZ$194,[1]DESPACHOS!$C$205:$AZ$234,[1]DESPACHOS!$C$245:$AZ$274,[1]DESPACHOS!$C$285:$AZ$314,[1]DESPACHOS!#REF!,[1]DESPACHOS!#REF!</definedName>
    <definedName name="BORRADO2" localSheetId="2">[1]DESPACHOS!$C$165:$AZ$194,[1]DESPACHOS!$C$205:$AZ$234,[1]DESPACHOS!$C$245:$AZ$274,[1]DESPACHOS!$C$285:$AZ$314,[1]DESPACHOS!#REF!,[1]DESPACHOS!#REF!</definedName>
    <definedName name="BORRADO2">[1]DESPACHOS!$C$165:$AZ$194,[1]DESPACHOS!$C$205:$AZ$234,[1]DESPACHOS!$C$245:$AZ$274,[1]DESPACHOS!$C$285:$AZ$314,[1]DESPACHOS!#REF!,[1]DESPACHOS!#REF!</definedName>
    <definedName name="BORRADO3" localSheetId="6">[1]DESPACHOS!#REF!,[1]DESPACHOS!#REF!,[1]DESPACHOS!#REF!,[1]DESPACHOS!#REF!,[1]DESPACHOS!#REF!,[1]DESPACHOS!#REF!</definedName>
    <definedName name="BORRADO3" localSheetId="2">[1]DESPACHOS!#REF!,[1]DESPACHOS!#REF!,[1]DESPACHOS!#REF!,[1]DESPACHOS!#REF!,[1]DESPACHOS!#REF!,[1]DESPACHOS!#REF!</definedName>
    <definedName name="BORRADO3">[1]DESPACHOS!#REF!,[1]DESPACHOS!#REF!,[1]DESPACHOS!#REF!,[1]DESPACHOS!#REF!,[1]DESPACHOS!#REF!,[1]DESPACHOS!#REF!</definedName>
    <definedName name="BORRADO4" localSheetId="6">[1]DESPACHOS!#REF!,[1]DESPACHOS!#REF!,[1]DESPACHOS!#REF!,[1]DESPACHOS!#REF!,[1]DESPACHOS!#REF!,[1]DESPACHOS!#REF!,[1]DESPACHOS!#REF!</definedName>
    <definedName name="BORRADO4" localSheetId="2">[1]DESPACHOS!#REF!,[1]DESPACHOS!#REF!,[1]DESPACHOS!#REF!,[1]DESPACHOS!#REF!,[1]DESPACHOS!#REF!,[1]DESPACHOS!#REF!,[1]DESPACHOS!#REF!</definedName>
    <definedName name="BORRADO4">[1]DESPACHOS!#REF!,[1]DESPACHOS!#REF!,[1]DESPACHOS!#REF!,[1]DESPACHOS!#REF!,[1]DESPACHOS!#REF!,[1]DESPACHOS!#REF!,[1]DESPACHOS!#REF!</definedName>
    <definedName name="cara" hidden="1">{"'Ene-Fac'!$A$2:$H$142"}</definedName>
    <definedName name="CB" localSheetId="6">#REF!</definedName>
    <definedName name="CB" localSheetId="2">#REF!</definedName>
    <definedName name="CB">#REF!</definedName>
    <definedName name="CC" localSheetId="6">#REF!</definedName>
    <definedName name="CC" localSheetId="2">#REF!</definedName>
    <definedName name="CC">#REF!</definedName>
    <definedName name="CM" localSheetId="6">#REF!</definedName>
    <definedName name="CM" localSheetId="2">#REF!</definedName>
    <definedName name="CM">#REF!</definedName>
    <definedName name="CN" localSheetId="6">#REF!</definedName>
    <definedName name="CN" localSheetId="2">#REF!</definedName>
    <definedName name="CN">#REF!</definedName>
    <definedName name="CV" localSheetId="6">#REF!</definedName>
    <definedName name="CV" localSheetId="2">#REF!</definedName>
    <definedName name="CV">#REF!</definedName>
    <definedName name="DD" localSheetId="6">#REF!</definedName>
    <definedName name="DD" localSheetId="2">#REF!</definedName>
    <definedName name="DD">#REF!</definedName>
    <definedName name="DFG" localSheetId="6">#REF!</definedName>
    <definedName name="DFG" localSheetId="2">#REF!</definedName>
    <definedName name="DFG">#REF!</definedName>
    <definedName name="dghdghd" hidden="1">{"'Ene-Fac'!$A$2:$H$142"}</definedName>
    <definedName name="DominioNumeroSolicitud">'[2]Proyecto Inversión'!$B$15:$B$2014</definedName>
    <definedName name="DropActividades">[3]Catálogos!$Y$10:$Y$55</definedName>
    <definedName name="dtwrtwrtw" hidden="1">{"'Ene-Fac'!$A$2:$H$142"}</definedName>
    <definedName name="e" localSheetId="6">#REF!</definedName>
    <definedName name="e" localSheetId="4">#REF!</definedName>
    <definedName name="e" localSheetId="2">#REF!</definedName>
    <definedName name="e">#REF!</definedName>
    <definedName name="eaqagag" hidden="1">{"'Ene-Fac'!$A$2:$H$142"}</definedName>
    <definedName name="est2005imp" hidden="1">{"'Ene-Fac'!$A$2:$H$142"}</definedName>
    <definedName name="FF" localSheetId="6">#REF!</definedName>
    <definedName name="FF" localSheetId="2">#REF!</definedName>
    <definedName name="FF">#REF!</definedName>
    <definedName name="FGH" localSheetId="6">#REF!</definedName>
    <definedName name="FGH" localSheetId="2">#REF!</definedName>
    <definedName name="FGH">#REF!</definedName>
    <definedName name="fluno" hidden="1">{"'Ene-Fac'!$A$2:$H$142"}</definedName>
    <definedName name="gdhgdfhdfgh" hidden="1">{"'Ene-Fac'!$A$2:$H$142"}</definedName>
    <definedName name="grafico">[4]Embalses!$P$1:$Y$66</definedName>
    <definedName name="grafo1" localSheetId="6">#REF!</definedName>
    <definedName name="grafo1" localSheetId="2">#REF!</definedName>
    <definedName name="grafo1">#REF!</definedName>
    <definedName name="grafo2" localSheetId="6">#REF!</definedName>
    <definedName name="grafo2" localSheetId="2">#REF!</definedName>
    <definedName name="grafo2">#REF!</definedName>
    <definedName name="hgjfhjfhj" hidden="1">{"'Ene-Fac'!$A$2:$H$142"}</definedName>
    <definedName name="hjfdghjfhj" hidden="1">{"'Ene-Fac'!$A$2:$H$142"}</definedName>
    <definedName name="HJK" localSheetId="6" hidden="1">#REF!</definedName>
    <definedName name="HJK" localSheetId="2" hidden="1">#REF!</definedName>
    <definedName name="HJK" hidden="1">#REF!</definedName>
    <definedName name="HTML_CodePage" hidden="1">1252</definedName>
    <definedName name="HTML_Control" hidden="1">{"'Ene-Fac'!$A$2:$H$142"}</definedName>
    <definedName name="HTML_Control_1" hidden="1">{"'Ene-Fac'!$A$2:$H$142"}</definedName>
    <definedName name="HTML_CONTROL001" hidden="1">{"'Ene-Fac'!$A$2:$H$142"}</definedName>
    <definedName name="HTML_Control002" hidden="1">{"'Ene-Fac'!$A$2:$H$142"}</definedName>
    <definedName name="HTML_Control003" hidden="1">{"'Ene-Fac'!$A$2:$H$142"}</definedName>
    <definedName name="HTML_CONTROL1" hidden="1">{"'Ene-Fac'!$A$2:$H$142"}</definedName>
    <definedName name="HTML_Description" hidden="1">""</definedName>
    <definedName name="HTML_Email" hidden="1">""</definedName>
    <definedName name="HTML_Header" hidden="1">"Ene-Fac"</definedName>
    <definedName name="HTML_LastUpdate" hidden="1">"08/11/1999"</definedName>
    <definedName name="HTML_LineAfter" hidden="1">FALSE</definedName>
    <definedName name="HTML_LineBefore" hidden="1">FALSE</definedName>
    <definedName name="HTML_Name" hidden="1">"MARCELO NEIRA"</definedName>
    <definedName name="HTML_OBDlg2" hidden="1">TRUE</definedName>
    <definedName name="HTML_OBDlg4" hidden="1">TRUE</definedName>
    <definedName name="HTML_OS" hidden="1">0</definedName>
    <definedName name="HTML_PathFile" hidden="1">"C:\Boletín Estadístico Ene-Ago 1999\WEB\HTML.htm"</definedName>
    <definedName name="HTML_Title" hidden="1">"Estadística SEE"</definedName>
    <definedName name="jorge" hidden="1">{"'Ene-Fac'!$A$2:$H$142"}</definedName>
    <definedName name="Mario_Andrade" localSheetId="6">#REF!</definedName>
    <definedName name="Mario_Andrade" localSheetId="4">#REF!</definedName>
    <definedName name="Mario_Andrade" localSheetId="2">#REF!</definedName>
    <definedName name="Mario_Andrade">#REF!</definedName>
    <definedName name="MB" localSheetId="6">#REF!</definedName>
    <definedName name="MB" localSheetId="2">#REF!</definedName>
    <definedName name="MB">#REF!</definedName>
    <definedName name="MC" localSheetId="6">#REF!</definedName>
    <definedName name="MC" localSheetId="2">#REF!</definedName>
    <definedName name="MC">#REF!</definedName>
    <definedName name="MM" localSheetId="6">#REF!</definedName>
    <definedName name="MM" localSheetId="2">#REF!</definedName>
    <definedName name="MM">#REF!</definedName>
    <definedName name="MN" localSheetId="6">#REF!</definedName>
    <definedName name="MN" localSheetId="2">#REF!</definedName>
    <definedName name="MN">#REF!</definedName>
    <definedName name="MV" localSheetId="6">#REF!</definedName>
    <definedName name="MV" localSheetId="2">#REF!</definedName>
    <definedName name="MV">#REF!</definedName>
    <definedName name="MX" localSheetId="6">#REF!</definedName>
    <definedName name="MX" localSheetId="2">#REF!</definedName>
    <definedName name="MX">#REF!</definedName>
    <definedName name="MZ" localSheetId="6">#REF!</definedName>
    <definedName name="MZ" localSheetId="2">#REF!</definedName>
    <definedName name="MZ">#REF!</definedName>
    <definedName name="NE" localSheetId="6">#REF!</definedName>
    <definedName name="NE" localSheetId="2">#REF!</definedName>
    <definedName name="NE">#REF!</definedName>
    <definedName name="NEUV10" localSheetId="6">#REF!</definedName>
    <definedName name="NEUV10" localSheetId="2">#REF!</definedName>
    <definedName name="NEUV10">#REF!</definedName>
    <definedName name="new" hidden="1">{"'Ene-Fac'!$A$2:$H$142"}</definedName>
    <definedName name="NN" localSheetId="6">#REF!</definedName>
    <definedName name="NN" localSheetId="2">#REF!</definedName>
    <definedName name="NN">#REF!</definedName>
    <definedName name="NNE" localSheetId="6">#REF!</definedName>
    <definedName name="NNE" localSheetId="2">#REF!</definedName>
    <definedName name="NNE">#REF!</definedName>
    <definedName name="OJO" hidden="1">{"'Ene-Fac'!$A$2:$H$142"}</definedName>
    <definedName name="OLE_LINK2_2" localSheetId="2">'MODELO DE PRESUPUESTO (2)'!#REF!</definedName>
    <definedName name="OLE_LINK2_2">'MODELO DE PRESUPUESTO'!$C$200</definedName>
    <definedName name="OLE_LINK2_4">'BASE DE DATO MANO DE OBRA'!$C$116</definedName>
    <definedName name="Potencia">"Gráfico 5,Gráfico 6"</definedName>
    <definedName name="proyb">[5]norte!$N$2:$O$3</definedName>
    <definedName name="proyc">[5]norte!$F$2:$I$3</definedName>
    <definedName name="q34er" hidden="1">{"'Ene-Fac'!$A$2:$H$142"}</definedName>
    <definedName name="qerqr" hidden="1">{"'Ene-Fac'!$A$2:$H$142"}</definedName>
    <definedName name="reecosta">[6]norte!$N$2:$O$3</definedName>
    <definedName name="srqwerqe" hidden="1">{"'Ene-Fac'!$A$2:$H$142"}</definedName>
    <definedName name="SS" localSheetId="6">#REF!</definedName>
    <definedName name="SS" localSheetId="2">#REF!</definedName>
    <definedName name="SS">#REF!</definedName>
    <definedName name="THML_Control11" hidden="1">{"'Ene-Fac'!$A$2:$H$142"}</definedName>
    <definedName name="twertwert" hidden="1">{"'Ene-Fac'!$A$2:$H$142"}</definedName>
    <definedName name="VB" localSheetId="6">#REF!</definedName>
    <definedName name="VB" localSheetId="2">#REF!</definedName>
    <definedName name="VB">#REF!</definedName>
    <definedName name="VN" localSheetId="6">#REF!</definedName>
    <definedName name="VN" localSheetId="2">#REF!</definedName>
    <definedName name="VN">#REF!</definedName>
    <definedName name="VV" localSheetId="6">#REF!</definedName>
    <definedName name="VV" localSheetId="2">#REF!</definedName>
    <definedName name="VV">#REF!</definedName>
    <definedName name="wrtwrt" hidden="1">{"'Ene-Fac'!$A$2:$H$142"}</definedName>
    <definedName name="wrtwrtet" hidden="1">{"'Ene-Fac'!$A$2:$H$142"}</definedName>
    <definedName name="XX" localSheetId="6">#REF!</definedName>
    <definedName name="XX" localSheetId="2">#REF!</definedName>
    <definedName name="XX">#REF!</definedName>
    <definedName name="Y" localSheetId="6">#REF!</definedName>
    <definedName name="Y" localSheetId="2">#REF!</definedName>
    <definedName name="Y">#REF!</definedName>
    <definedName name="Z_61D25FAA_9885_4686_B739_70FDA39A07A1_.wvu.Cols" localSheetId="7" hidden="1">'BASE DATOS MATERIALES'!#REF!,'BASE DATOS MATERIALES'!#REF!,'BASE DATOS MATERIALES'!#REF!,'BASE DATOS MATERIALES'!#REF!,'BASE DATOS MATERIALES'!#REF!</definedName>
    <definedName name="Z_61D25FAA_9885_4686_B739_70FDA39A07A1_.wvu.Cols" localSheetId="8" hidden="1">'BASE DE DATO MANO DE OBRA'!$H:$M</definedName>
    <definedName name="Z_61D25FAA_9885_4686_B739_70FDA39A07A1_.wvu.Cols" localSheetId="0" hidden="1">'CARATULA-DATOS'!$I:$AJ</definedName>
    <definedName name="Z_61D25FAA_9885_4686_B739_70FDA39A07A1_.wvu.Cols" localSheetId="1" hidden="1">'MODELO DE PRESUPUESTO'!$J:$J</definedName>
    <definedName name="Z_61D25FAA_9885_4686_B739_70FDA39A07A1_.wvu.Cols" localSheetId="2" hidden="1">'MODELO DE PRESUPUESTO (2)'!$H:$H</definedName>
    <definedName name="Z_61D25FAA_9885_4686_B739_70FDA39A07A1_.wvu.FilterData" localSheetId="7" hidden="1">'BASE DATOS MATERIALES'!$A$7:$EH$219</definedName>
    <definedName name="Z_61D25FAA_9885_4686_B739_70FDA39A07A1_.wvu.FilterData" localSheetId="3" hidden="1">'Presupuesto desglosado'!$A$3:$I$64</definedName>
    <definedName name="Z_61D25FAA_9885_4686_B739_70FDA39A07A1_.wvu.PrintArea" localSheetId="7" hidden="1">'BASE DATOS MATERIALES'!$A$1:$BH$220</definedName>
    <definedName name="Z_61D25FAA_9885_4686_B739_70FDA39A07A1_.wvu.PrintArea" localSheetId="0" hidden="1">'CARATULA-DATOS'!$A$1:$E$48</definedName>
    <definedName name="Z_61D25FAA_9885_4686_B739_70FDA39A07A1_.wvu.PrintArea" localSheetId="1" hidden="1">'MODELO DE PRESUPUESTO'!$A$1:$H$304</definedName>
    <definedName name="Z_61D25FAA_9885_4686_B739_70FDA39A07A1_.wvu.PrintArea" localSheetId="2" hidden="1">'MODELO DE PRESUPUESTO (2)'!$A$2:$F$126</definedName>
    <definedName name="Z_61D25FAA_9885_4686_B739_70FDA39A07A1_.wvu.PrintArea" localSheetId="9" hidden="1">'PESO DE MATERIALES'!$C$1:$I$43</definedName>
    <definedName name="Z_61D25FAA_9885_4686_B739_70FDA39A07A1_.wvu.Rows" localSheetId="7" hidden="1">'BASE DATOS MATERIALES'!$1:$1</definedName>
    <definedName name="Z_78BD55B1_68EB_420C_90D4_21A42E09A787_.wvu.Cols" localSheetId="7" hidden="1">'BASE DATOS MATERIALES'!#REF!,'BASE DATOS MATERIALES'!#REF!,'BASE DATOS MATERIALES'!#REF!,'BASE DATOS MATERIALES'!#REF!,'BASE DATOS MATERIALES'!#REF!</definedName>
    <definedName name="Z_78BD55B1_68EB_420C_90D4_21A42E09A787_.wvu.Cols" localSheetId="8" hidden="1">'BASE DE DATO MANO DE OBRA'!$H:$M</definedName>
    <definedName name="Z_78BD55B1_68EB_420C_90D4_21A42E09A787_.wvu.Cols" localSheetId="0" hidden="1">'CARATULA-DATOS'!$I:$AJ</definedName>
    <definedName name="Z_78BD55B1_68EB_420C_90D4_21A42E09A787_.wvu.Cols" localSheetId="1" hidden="1">'MODELO DE PRESUPUESTO'!$J:$J</definedName>
    <definedName name="Z_78BD55B1_68EB_420C_90D4_21A42E09A787_.wvu.Cols" localSheetId="2" hidden="1">'MODELO DE PRESUPUESTO (2)'!$H:$H</definedName>
    <definedName name="Z_78BD55B1_68EB_420C_90D4_21A42E09A787_.wvu.FilterData" localSheetId="7" hidden="1">'BASE DATOS MATERIALES'!$A$7:$EH$219</definedName>
    <definedName name="Z_78BD55B1_68EB_420C_90D4_21A42E09A787_.wvu.FilterData" localSheetId="3" hidden="1">'Presupuesto desglosado'!$A$3:$I$64</definedName>
    <definedName name="Z_78BD55B1_68EB_420C_90D4_21A42E09A787_.wvu.PrintArea" localSheetId="7" hidden="1">'BASE DATOS MATERIALES'!$A$1:$BH$220</definedName>
    <definedName name="Z_78BD55B1_68EB_420C_90D4_21A42E09A787_.wvu.PrintArea" localSheetId="0" hidden="1">'CARATULA-DATOS'!$A$1:$E$48</definedName>
    <definedName name="Z_78BD55B1_68EB_420C_90D4_21A42E09A787_.wvu.PrintArea" localSheetId="1" hidden="1">'MODELO DE PRESUPUESTO'!$A$1:$H$304</definedName>
    <definedName name="Z_78BD55B1_68EB_420C_90D4_21A42E09A787_.wvu.PrintArea" localSheetId="2" hidden="1">'MODELO DE PRESUPUESTO (2)'!$A$2:$F$126</definedName>
    <definedName name="Z_78BD55B1_68EB_420C_90D4_21A42E09A787_.wvu.PrintArea" localSheetId="9" hidden="1">'PESO DE MATERIALES'!$C$1:$I$43</definedName>
    <definedName name="Z_78BD55B1_68EB_420C_90D4_21A42E09A787_.wvu.Rows" localSheetId="7" hidden="1">'BASE DATOS MATERIALES'!$1:$1</definedName>
    <definedName name="Z_E0C34FC0_5273_11D4_A978_DCF7EE1A587A_.wvu.Cols" localSheetId="9" hidden="1">'PESO DE MATERIALES'!$H:$I</definedName>
    <definedName name="Z_E0C34FC0_5273_11D4_A978_DCF7EE1A587A_.wvu.PrintArea" localSheetId="9" hidden="1">'PESO DE MATERIALES'!$C$1:$I$41</definedName>
    <definedName name="ZB" localSheetId="6">#REF!</definedName>
    <definedName name="ZB" localSheetId="2">#REF!</definedName>
    <definedName name="ZB">#REF!</definedName>
    <definedName name="ZC" localSheetId="6">#REF!</definedName>
    <definedName name="ZC" localSheetId="2">#REF!</definedName>
    <definedName name="ZC">#REF!</definedName>
    <definedName name="ZM" localSheetId="6">#REF!</definedName>
    <definedName name="ZM" localSheetId="2">#REF!</definedName>
    <definedName name="ZM">#REF!</definedName>
    <definedName name="ZN" localSheetId="6">#REF!</definedName>
    <definedName name="ZN" localSheetId="2">#REF!</definedName>
    <definedName name="ZN">#REF!</definedName>
    <definedName name="ZV" localSheetId="6">#REF!</definedName>
    <definedName name="ZV" localSheetId="2">#REF!</definedName>
    <definedName name="ZV">#REF!</definedName>
    <definedName name="ZX" localSheetId="6">#REF!</definedName>
    <definedName name="ZX" localSheetId="2">#REF!</definedName>
    <definedName name="ZX">#REF!</definedName>
    <definedName name="ZZ" localSheetId="6" hidden="1">#REF!</definedName>
    <definedName name="ZZ" localSheetId="2" hidden="1">#REF!</definedName>
    <definedName name="ZZ" hidden="1">#REF!</definedName>
  </definedNames>
  <calcPr calcId="152511"/>
  <customWorkbookViews>
    <customWorkbookView name="Francis Elodia Morales Carrillo - Vista personalizada" guid="{78BD55B1-68EB-420C-90D4-21A42E09A787}" mergeInterval="0" personalView="1" maximized="1" windowWidth="1362" windowHeight="543" tabRatio="834" activeSheetId="2"/>
    <customWorkbookView name="mgarciaa - Vista personalizada" guid="{61D25FAA-9885-4686-B739-70FDA39A07A1}" mergeInterval="0" personalView="1" maximized="1" xWindow="1" yWindow="1" windowWidth="1362" windowHeight="505" tabRatio="834" activeSheetId="1"/>
  </customWorkbookViews>
</workbook>
</file>

<file path=xl/calcChain.xml><?xml version="1.0" encoding="utf-8"?>
<calcChain xmlns="http://schemas.openxmlformats.org/spreadsheetml/2006/main">
  <c r="F4" i="10" l="1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3" i="10"/>
  <c r="G281" i="2"/>
  <c r="M121" i="10" l="1"/>
  <c r="F122" i="10" l="1"/>
  <c r="B86" i="10"/>
  <c r="B41" i="10"/>
  <c r="B39" i="10"/>
  <c r="B38" i="10"/>
  <c r="B36" i="10"/>
  <c r="B33" i="10"/>
  <c r="B27" i="10"/>
  <c r="B26" i="10"/>
  <c r="B25" i="10"/>
  <c r="B24" i="10"/>
  <c r="B19" i="10"/>
  <c r="B18" i="10"/>
  <c r="B17" i="10"/>
  <c r="B14" i="10"/>
  <c r="B13" i="10"/>
  <c r="B10" i="10"/>
  <c r="B9" i="10"/>
  <c r="B8" i="10"/>
  <c r="B7" i="10"/>
  <c r="B6" i="10"/>
  <c r="B5" i="10"/>
  <c r="B3" i="10"/>
  <c r="J2" i="10"/>
  <c r="G103" i="10" l="1"/>
  <c r="G69" i="10"/>
  <c r="F136" i="2"/>
  <c r="F135" i="2"/>
  <c r="F130" i="2"/>
  <c r="H137" i="2" l="1"/>
  <c r="H126" i="2"/>
  <c r="H127" i="2"/>
  <c r="H128" i="2"/>
  <c r="H129" i="2"/>
  <c r="H130" i="2"/>
  <c r="H131" i="2"/>
  <c r="H132" i="2"/>
  <c r="H133" i="2"/>
  <c r="H134" i="2"/>
  <c r="H135" i="2"/>
  <c r="H136" i="2"/>
  <c r="I137" i="2" l="1"/>
  <c r="H220" i="2"/>
  <c r="H221" i="2"/>
  <c r="H222" i="2"/>
  <c r="H223" i="2"/>
  <c r="H224" i="2"/>
  <c r="H225" i="2"/>
  <c r="H226" i="2"/>
  <c r="H227" i="2"/>
  <c r="H228" i="2"/>
  <c r="I228" i="2" l="1"/>
  <c r="K230" i="2" s="1"/>
  <c r="L230" i="2" s="1"/>
  <c r="B27" i="1"/>
  <c r="F278" i="2" l="1"/>
  <c r="E60" i="4" l="1"/>
  <c r="N9" i="9" l="1"/>
  <c r="C178" i="6" l="1"/>
  <c r="C176" i="6"/>
  <c r="C174" i="6"/>
  <c r="C173" i="6"/>
  <c r="N11" i="9" l="1"/>
  <c r="O11" i="9"/>
  <c r="P11" i="9"/>
  <c r="Q11" i="9"/>
  <c r="R11" i="9"/>
  <c r="M11" i="9"/>
  <c r="N7" i="9"/>
  <c r="M7" i="9"/>
  <c r="O8" i="9"/>
  <c r="M8" i="9"/>
  <c r="N12" i="9"/>
  <c r="O12" i="9"/>
  <c r="P12" i="9"/>
  <c r="Q12" i="9"/>
  <c r="M12" i="9"/>
  <c r="O9" i="9"/>
  <c r="M9" i="9"/>
  <c r="K22" i="9"/>
  <c r="K21" i="9"/>
  <c r="L15" i="9"/>
  <c r="L14" i="9"/>
  <c r="L13" i="9"/>
  <c r="L12" i="9"/>
  <c r="L11" i="9"/>
  <c r="L11" i="2"/>
  <c r="L10" i="9"/>
  <c r="L9" i="9"/>
  <c r="L9" i="2"/>
  <c r="K23" i="9" l="1"/>
  <c r="L8" i="9"/>
  <c r="L7" i="9"/>
  <c r="O219" i="9"/>
  <c r="M219" i="9"/>
  <c r="O218" i="9"/>
  <c r="M218" i="9"/>
  <c r="O217" i="9"/>
  <c r="M217" i="9"/>
  <c r="O216" i="9"/>
  <c r="M216" i="9"/>
  <c r="O215" i="9"/>
  <c r="M215" i="9"/>
  <c r="O214" i="9"/>
  <c r="M214" i="9"/>
  <c r="O213" i="9"/>
  <c r="M213" i="9"/>
  <c r="O212" i="9"/>
  <c r="M212" i="9"/>
  <c r="O211" i="9"/>
  <c r="M211" i="9"/>
  <c r="O210" i="9"/>
  <c r="M210" i="9"/>
  <c r="O209" i="9"/>
  <c r="M209" i="9"/>
  <c r="O208" i="9"/>
  <c r="M208" i="9"/>
  <c r="O207" i="9"/>
  <c r="M207" i="9"/>
  <c r="O206" i="9"/>
  <c r="M206" i="9"/>
  <c r="O205" i="9"/>
  <c r="M205" i="9"/>
  <c r="O204" i="9"/>
  <c r="M204" i="9"/>
  <c r="O203" i="9"/>
  <c r="M203" i="9"/>
  <c r="O202" i="9"/>
  <c r="M202" i="9"/>
  <c r="O201" i="9"/>
  <c r="M201" i="9"/>
  <c r="O200" i="9"/>
  <c r="M200" i="9"/>
  <c r="O199" i="9"/>
  <c r="M199" i="9"/>
  <c r="O198" i="9"/>
  <c r="M198" i="9"/>
  <c r="O197" i="9"/>
  <c r="M197" i="9"/>
  <c r="O196" i="9"/>
  <c r="M196" i="9"/>
  <c r="O195" i="9"/>
  <c r="M195" i="9"/>
  <c r="O194" i="9"/>
  <c r="M194" i="9"/>
  <c r="O193" i="9"/>
  <c r="M193" i="9"/>
  <c r="O192" i="9"/>
  <c r="M192" i="9"/>
  <c r="O191" i="9"/>
  <c r="M191" i="9"/>
  <c r="O190" i="9"/>
  <c r="M190" i="9"/>
  <c r="O189" i="9"/>
  <c r="M189" i="9"/>
  <c r="O188" i="9"/>
  <c r="M188" i="9"/>
  <c r="O187" i="9"/>
  <c r="M187" i="9"/>
  <c r="O186" i="9"/>
  <c r="M186" i="9"/>
  <c r="O185" i="9"/>
  <c r="M185" i="9"/>
  <c r="O184" i="9"/>
  <c r="M184" i="9"/>
  <c r="O183" i="9"/>
  <c r="M183" i="9"/>
  <c r="O182" i="9"/>
  <c r="M182" i="9"/>
  <c r="O181" i="9"/>
  <c r="M181" i="9"/>
  <c r="O180" i="9"/>
  <c r="M180" i="9"/>
  <c r="O179" i="9"/>
  <c r="M179" i="9"/>
  <c r="O178" i="9"/>
  <c r="M178" i="9"/>
  <c r="O177" i="9"/>
  <c r="M177" i="9"/>
  <c r="O176" i="9"/>
  <c r="M176" i="9"/>
  <c r="O175" i="9"/>
  <c r="M175" i="9"/>
  <c r="O174" i="9"/>
  <c r="M174" i="9"/>
  <c r="O173" i="9"/>
  <c r="M173" i="9"/>
  <c r="O172" i="9"/>
  <c r="M172" i="9"/>
  <c r="O171" i="9"/>
  <c r="M171" i="9"/>
  <c r="O170" i="9"/>
  <c r="M170" i="9"/>
  <c r="O169" i="9"/>
  <c r="M169" i="9"/>
  <c r="O168" i="9"/>
  <c r="M168" i="9"/>
  <c r="O167" i="9"/>
  <c r="M167" i="9"/>
  <c r="O166" i="9"/>
  <c r="M166" i="9"/>
  <c r="O165" i="9"/>
  <c r="M165" i="9"/>
  <c r="O164" i="9"/>
  <c r="M164" i="9"/>
  <c r="O163" i="9"/>
  <c r="M163" i="9"/>
  <c r="O162" i="9"/>
  <c r="M162" i="9"/>
  <c r="O161" i="9"/>
  <c r="M161" i="9"/>
  <c r="O160" i="9"/>
  <c r="M160" i="9"/>
  <c r="O159" i="9"/>
  <c r="M159" i="9"/>
  <c r="O158" i="9"/>
  <c r="M158" i="9"/>
  <c r="O157" i="9"/>
  <c r="M157" i="9"/>
  <c r="O156" i="9"/>
  <c r="M156" i="9"/>
  <c r="O155" i="9"/>
  <c r="M155" i="9"/>
  <c r="O154" i="9"/>
  <c r="M154" i="9"/>
  <c r="O153" i="9"/>
  <c r="M153" i="9"/>
  <c r="O152" i="9"/>
  <c r="M152" i="9"/>
  <c r="O151" i="9"/>
  <c r="M151" i="9"/>
  <c r="O150" i="9"/>
  <c r="M150" i="9"/>
  <c r="O149" i="9"/>
  <c r="M149" i="9"/>
  <c r="O148" i="9"/>
  <c r="M148" i="9"/>
  <c r="O147" i="9"/>
  <c r="M147" i="9"/>
  <c r="O146" i="9"/>
  <c r="M146" i="9"/>
  <c r="O145" i="9"/>
  <c r="M145" i="9"/>
  <c r="O144" i="9"/>
  <c r="M144" i="9"/>
  <c r="O143" i="9"/>
  <c r="M143" i="9"/>
  <c r="O142" i="9"/>
  <c r="M142" i="9"/>
  <c r="O141" i="9"/>
  <c r="M141" i="9"/>
  <c r="O140" i="9"/>
  <c r="M140" i="9"/>
  <c r="O139" i="9"/>
  <c r="M139" i="9"/>
  <c r="O138" i="9"/>
  <c r="M138" i="9"/>
  <c r="O137" i="9"/>
  <c r="M137" i="9"/>
  <c r="O136" i="9"/>
  <c r="M136" i="9"/>
  <c r="O135" i="9"/>
  <c r="M135" i="9"/>
  <c r="O134" i="9"/>
  <c r="M134" i="9"/>
  <c r="O133" i="9"/>
  <c r="M133" i="9"/>
  <c r="O132" i="9"/>
  <c r="M132" i="9"/>
  <c r="O131" i="9"/>
  <c r="M131" i="9"/>
  <c r="O130" i="9"/>
  <c r="M130" i="9"/>
  <c r="O129" i="9"/>
  <c r="M129" i="9"/>
  <c r="O128" i="9"/>
  <c r="M128" i="9"/>
  <c r="O127" i="9"/>
  <c r="M127" i="9"/>
  <c r="O126" i="9"/>
  <c r="M126" i="9"/>
  <c r="O125" i="9"/>
  <c r="M125" i="9"/>
  <c r="O124" i="9"/>
  <c r="M124" i="9"/>
  <c r="O123" i="9"/>
  <c r="M123" i="9"/>
  <c r="O122" i="9"/>
  <c r="M122" i="9"/>
  <c r="O121" i="9"/>
  <c r="M121" i="9"/>
  <c r="O120" i="9"/>
  <c r="M120" i="9"/>
  <c r="O119" i="9"/>
  <c r="M119" i="9"/>
  <c r="O118" i="9"/>
  <c r="M118" i="9"/>
  <c r="O117" i="9"/>
  <c r="M117" i="9"/>
  <c r="O116" i="9"/>
  <c r="M116" i="9"/>
  <c r="O115" i="9"/>
  <c r="M115" i="9"/>
  <c r="B11" i="9"/>
  <c r="E8" i="9"/>
  <c r="C8" i="9"/>
  <c r="E7" i="9"/>
  <c r="C7" i="9"/>
  <c r="D71" i="4"/>
  <c r="G68" i="4"/>
  <c r="G67" i="4"/>
  <c r="E68" i="4"/>
  <c r="E67" i="4"/>
  <c r="F218" i="2" l="1"/>
  <c r="F219" i="2"/>
  <c r="H215" i="2"/>
  <c r="H216" i="2"/>
  <c r="H217" i="2"/>
  <c r="G213" i="2"/>
  <c r="F197" i="2" l="1"/>
  <c r="F115" i="2" l="1"/>
  <c r="F48" i="3"/>
  <c r="F47" i="3"/>
  <c r="G48" i="3"/>
  <c r="G47" i="3"/>
  <c r="G32" i="3"/>
  <c r="F32" i="3"/>
  <c r="F32" i="2"/>
  <c r="H32" i="2" s="1"/>
  <c r="F31" i="3"/>
  <c r="G31" i="3"/>
  <c r="H47" i="3" l="1"/>
  <c r="H48" i="3"/>
  <c r="H32" i="3"/>
  <c r="H31" i="3"/>
  <c r="F31" i="2"/>
  <c r="H31" i="2" s="1"/>
  <c r="F204" i="2"/>
  <c r="F122" i="2"/>
  <c r="F77" i="2"/>
  <c r="F74" i="2"/>
  <c r="F73" i="2"/>
  <c r="F75" i="2"/>
  <c r="F72" i="2"/>
  <c r="F56" i="3"/>
  <c r="F57" i="3"/>
  <c r="F125" i="2"/>
  <c r="F124" i="2"/>
  <c r="F121" i="2"/>
  <c r="F120" i="2"/>
  <c r="F35" i="3"/>
  <c r="F117" i="2"/>
  <c r="F114" i="2"/>
  <c r="F113" i="2"/>
  <c r="F111" i="2"/>
  <c r="F110" i="2"/>
  <c r="F108" i="2"/>
  <c r="H7" i="2"/>
  <c r="G7" i="2"/>
  <c r="G6" i="2"/>
  <c r="F123" i="2"/>
  <c r="F208" i="2"/>
  <c r="F206" i="2"/>
  <c r="F205" i="2"/>
  <c r="F53" i="2"/>
  <c r="F91" i="2"/>
  <c r="F90" i="2"/>
  <c r="F51" i="2"/>
  <c r="F27" i="3"/>
  <c r="F28" i="3"/>
  <c r="F29" i="3"/>
  <c r="F26" i="3"/>
  <c r="F65" i="2"/>
  <c r="F95" i="2"/>
  <c r="F191" i="2"/>
  <c r="F83" i="2" s="1"/>
  <c r="F44" i="2"/>
  <c r="G37" i="8"/>
  <c r="F49" i="3"/>
  <c r="F16" i="3" l="1"/>
  <c r="F15" i="3"/>
  <c r="F39" i="3"/>
  <c r="F38" i="3"/>
  <c r="F14" i="3"/>
  <c r="F15" i="2"/>
  <c r="F9" i="3" s="1"/>
  <c r="F16" i="2"/>
  <c r="F153" i="2" s="1"/>
  <c r="F17" i="2"/>
  <c r="F212" i="2"/>
  <c r="F194" i="2"/>
  <c r="F112" i="2"/>
  <c r="F109" i="2"/>
  <c r="F105" i="2"/>
  <c r="F101" i="2"/>
  <c r="F100" i="2"/>
  <c r="F99" i="2"/>
  <c r="F98" i="2"/>
  <c r="F97" i="2"/>
  <c r="F96" i="2"/>
  <c r="F94" i="2"/>
  <c r="F93" i="2"/>
  <c r="F92" i="2"/>
  <c r="F89" i="2"/>
  <c r="F88" i="2"/>
  <c r="F87" i="2"/>
  <c r="F104" i="2" s="1"/>
  <c r="F86" i="2"/>
  <c r="F84" i="2"/>
  <c r="F82" i="2"/>
  <c r="F81" i="2"/>
  <c r="F80" i="2"/>
  <c r="F64" i="2"/>
  <c r="F63" i="2"/>
  <c r="F57" i="2"/>
  <c r="F54" i="2"/>
  <c r="F52" i="2"/>
  <c r="C203" i="2"/>
  <c r="C202" i="2"/>
  <c r="F154" i="2" l="1"/>
  <c r="F34" i="3"/>
  <c r="C30" i="2"/>
  <c r="D16" i="3" s="1"/>
  <c r="C29" i="2"/>
  <c r="D15" i="3" s="1"/>
  <c r="C28" i="2"/>
  <c r="D39" i="3" s="1"/>
  <c r="C27" i="2"/>
  <c r="D38" i="3" s="1"/>
  <c r="D64" i="6"/>
  <c r="G30" i="2" s="1"/>
  <c r="D61" i="6"/>
  <c r="G27" i="2" s="1"/>
  <c r="D62" i="6"/>
  <c r="G28" i="2" s="1"/>
  <c r="C21" i="2"/>
  <c r="C22" i="2"/>
  <c r="C23" i="2"/>
  <c r="C24" i="2"/>
  <c r="C25" i="2"/>
  <c r="C26" i="2"/>
  <c r="D14" i="3" s="1"/>
  <c r="C20" i="2"/>
  <c r="D60" i="6"/>
  <c r="G26" i="2" s="1"/>
  <c r="C72" i="2"/>
  <c r="C67" i="2"/>
  <c r="C68" i="2"/>
  <c r="C69" i="2"/>
  <c r="C66" i="2"/>
  <c r="D42" i="6"/>
  <c r="G68" i="2" s="1"/>
  <c r="D43" i="6"/>
  <c r="G69" i="2" s="1"/>
  <c r="D39" i="6"/>
  <c r="C17" i="2"/>
  <c r="F13" i="2"/>
  <c r="F14" i="2"/>
  <c r="C13" i="2"/>
  <c r="C14" i="2"/>
  <c r="C15" i="2"/>
  <c r="C12" i="2"/>
  <c r="D32" i="6"/>
  <c r="G34" i="3" s="1"/>
  <c r="C52" i="2"/>
  <c r="C51" i="2"/>
  <c r="H34" i="3" l="1"/>
  <c r="H69" i="2"/>
  <c r="G29" i="3"/>
  <c r="H29" i="3" s="1"/>
  <c r="H68" i="2"/>
  <c r="G28" i="3"/>
  <c r="H28" i="3" s="1"/>
  <c r="F152" i="2"/>
  <c r="F7" i="3"/>
  <c r="H27" i="2"/>
  <c r="G38" i="3"/>
  <c r="H38" i="3" s="1"/>
  <c r="H30" i="2"/>
  <c r="G16" i="3"/>
  <c r="H16" i="3" s="1"/>
  <c r="H26" i="2"/>
  <c r="G14" i="3"/>
  <c r="H14" i="3" s="1"/>
  <c r="H28" i="2"/>
  <c r="G39" i="3"/>
  <c r="H39" i="3" s="1"/>
  <c r="F8" i="3"/>
  <c r="J39" i="6"/>
  <c r="V39" i="6"/>
  <c r="AB39" i="6"/>
  <c r="AN39" i="6"/>
  <c r="R39" i="6"/>
  <c r="AJ39" i="6"/>
  <c r="Z39" i="6"/>
  <c r="L39" i="6"/>
  <c r="AT39" i="6"/>
  <c r="AF39" i="6"/>
  <c r="H39" i="6"/>
  <c r="AP39" i="6"/>
  <c r="AH39" i="6"/>
  <c r="N39" i="6"/>
  <c r="F39" i="6"/>
  <c r="AR39" i="6"/>
  <c r="AL39" i="6"/>
  <c r="X39" i="6"/>
  <c r="T39" i="6"/>
  <c r="F32" i="6"/>
  <c r="AJ32" i="6"/>
  <c r="AB32" i="6"/>
  <c r="L32" i="6"/>
  <c r="Z32" i="6"/>
  <c r="V32" i="6"/>
  <c r="AP32" i="6"/>
  <c r="AH32" i="6"/>
  <c r="X32" i="6"/>
  <c r="T32" i="6"/>
  <c r="J32" i="6"/>
  <c r="AT32" i="6"/>
  <c r="AN32" i="6"/>
  <c r="AF32" i="6"/>
  <c r="R32" i="6"/>
  <c r="H32" i="6"/>
  <c r="AR32" i="6"/>
  <c r="AL32" i="6"/>
  <c r="N32" i="6"/>
  <c r="C48" i="2"/>
  <c r="C47" i="2"/>
  <c r="C65" i="2"/>
  <c r="D34" i="6"/>
  <c r="G65" i="2" s="1"/>
  <c r="D18" i="6"/>
  <c r="C36" i="2"/>
  <c r="C37" i="2"/>
  <c r="C38" i="2"/>
  <c r="C39" i="2"/>
  <c r="C40" i="2"/>
  <c r="C35" i="2"/>
  <c r="D17" i="6"/>
  <c r="AT34" i="6" l="1"/>
  <c r="AB34" i="6"/>
  <c r="G44" i="2"/>
  <c r="AF18" i="6"/>
  <c r="AF34" i="6"/>
  <c r="F277" i="2"/>
  <c r="H205" i="2"/>
  <c r="F116" i="2" l="1"/>
  <c r="F85" i="2"/>
  <c r="F76" i="2"/>
  <c r="F60" i="2"/>
  <c r="G17" i="2"/>
  <c r="H17" i="2" s="1"/>
  <c r="AA4" i="5"/>
  <c r="Z4" i="5"/>
  <c r="T4" i="5"/>
  <c r="S4" i="5"/>
  <c r="F209" i="2"/>
  <c r="F201" i="2" l="1"/>
  <c r="F202" i="2"/>
  <c r="F203" i="2"/>
  <c r="F200" i="2"/>
  <c r="F12" i="2"/>
  <c r="F151" i="2" s="1"/>
  <c r="E33" i="1" l="1"/>
  <c r="E25" i="1"/>
  <c r="E26" i="1"/>
  <c r="E27" i="1"/>
  <c r="E54" i="4"/>
  <c r="D49" i="6"/>
  <c r="AD49" i="6" s="1"/>
  <c r="G77" i="2" l="1"/>
  <c r="F37" i="3"/>
  <c r="F11" i="3"/>
  <c r="D12" i="3"/>
  <c r="F12" i="3"/>
  <c r="D13" i="3"/>
  <c r="F13" i="3"/>
  <c r="D55" i="6"/>
  <c r="D56" i="6"/>
  <c r="D57" i="6"/>
  <c r="G40" i="8"/>
  <c r="D216" i="6"/>
  <c r="D215" i="6"/>
  <c r="D48" i="6"/>
  <c r="D217" i="6"/>
  <c r="G22" i="2" l="1"/>
  <c r="G23" i="2"/>
  <c r="H23" i="2" s="1"/>
  <c r="G21" i="2"/>
  <c r="H21" i="2" s="1"/>
  <c r="AD48" i="6"/>
  <c r="G75" i="2"/>
  <c r="F215" i="6"/>
  <c r="AV215" i="6"/>
  <c r="F216" i="6"/>
  <c r="AV216" i="6"/>
  <c r="H77" i="2"/>
  <c r="G11" i="3"/>
  <c r="H11" i="3" s="1"/>
  <c r="G37" i="3"/>
  <c r="H37" i="3" s="1"/>
  <c r="AP215" i="6"/>
  <c r="AH215" i="6"/>
  <c r="AH216" i="6"/>
  <c r="V215" i="6"/>
  <c r="G124" i="2"/>
  <c r="L215" i="6"/>
  <c r="V216" i="6"/>
  <c r="G125" i="2"/>
  <c r="AP216" i="6"/>
  <c r="L216" i="6"/>
  <c r="AT216" i="6"/>
  <c r="AN216" i="6"/>
  <c r="AF216" i="6"/>
  <c r="T216" i="6"/>
  <c r="J216" i="6"/>
  <c r="AR216" i="6"/>
  <c r="AL216" i="6"/>
  <c r="Z216" i="6"/>
  <c r="R216" i="6"/>
  <c r="H216" i="6"/>
  <c r="AJ216" i="6"/>
  <c r="X216" i="6"/>
  <c r="N216" i="6"/>
  <c r="AT215" i="6"/>
  <c r="AN215" i="6"/>
  <c r="AF215" i="6"/>
  <c r="T215" i="6"/>
  <c r="J215" i="6"/>
  <c r="AR215" i="6"/>
  <c r="AL215" i="6"/>
  <c r="Z215" i="6"/>
  <c r="R215" i="6"/>
  <c r="H215" i="6"/>
  <c r="AJ215" i="6"/>
  <c r="X215" i="6"/>
  <c r="N215" i="6"/>
  <c r="F22" i="3"/>
  <c r="D188" i="6" l="1"/>
  <c r="G125" i="7" l="1"/>
  <c r="G121" i="7"/>
  <c r="G278" i="2" s="1"/>
  <c r="C63" i="2"/>
  <c r="C91" i="2"/>
  <c r="G98" i="2"/>
  <c r="C98" i="2"/>
  <c r="H208" i="2" l="1"/>
  <c r="G208" i="2"/>
  <c r="H98" i="2"/>
  <c r="H278" i="2"/>
  <c r="C81" i="2"/>
  <c r="C92" i="2"/>
  <c r="C80" i="2" l="1"/>
  <c r="C86" i="2"/>
  <c r="C100" i="2"/>
  <c r="C97" i="2"/>
  <c r="C82" i="2"/>
  <c r="C94" i="2" l="1"/>
  <c r="C64" i="2"/>
  <c r="C88" i="2"/>
  <c r="C84" i="2"/>
  <c r="C96" i="2"/>
  <c r="C93" i="2"/>
  <c r="C83" i="2"/>
  <c r="E59" i="4" l="1"/>
  <c r="E58" i="4"/>
  <c r="E53" i="4"/>
  <c r="E52" i="4"/>
  <c r="H4" i="5" l="1"/>
  <c r="M189" i="5" l="1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188" i="5"/>
  <c r="O188" i="5"/>
  <c r="F43" i="3" l="1"/>
  <c r="F42" i="3"/>
  <c r="G74" i="7"/>
  <c r="G180" i="2" s="1"/>
  <c r="H180" i="2" s="1"/>
  <c r="G72" i="7"/>
  <c r="G178" i="2" s="1"/>
  <c r="H178" i="2" s="1"/>
  <c r="AL219" i="6"/>
  <c r="K4" i="4" l="1"/>
  <c r="J4" i="4"/>
  <c r="G4" i="4"/>
  <c r="H4" i="4"/>
  <c r="E4" i="4"/>
  <c r="D4" i="4"/>
  <c r="C4" i="4"/>
  <c r="Q8" i="4" s="1"/>
  <c r="I4" i="4" l="1"/>
  <c r="F4" i="4" s="1"/>
  <c r="Q279" i="4"/>
  <c r="O279" i="4"/>
  <c r="Q278" i="4"/>
  <c r="O278" i="4"/>
  <c r="Q277" i="4"/>
  <c r="O277" i="4"/>
  <c r="Q276" i="4"/>
  <c r="O276" i="4"/>
  <c r="Q275" i="4"/>
  <c r="O275" i="4"/>
  <c r="Q274" i="4"/>
  <c r="O274" i="4"/>
  <c r="Q273" i="4"/>
  <c r="O273" i="4"/>
  <c r="Q272" i="4"/>
  <c r="O272" i="4"/>
  <c r="Q271" i="4"/>
  <c r="O271" i="4"/>
  <c r="Q270" i="4"/>
  <c r="O270" i="4"/>
  <c r="Q269" i="4"/>
  <c r="O269" i="4"/>
  <c r="Q268" i="4"/>
  <c r="O268" i="4"/>
  <c r="Q267" i="4"/>
  <c r="O267" i="4"/>
  <c r="Q266" i="4"/>
  <c r="O266" i="4"/>
  <c r="Q265" i="4"/>
  <c r="O265" i="4"/>
  <c r="Q264" i="4"/>
  <c r="O264" i="4"/>
  <c r="Q263" i="4"/>
  <c r="O263" i="4"/>
  <c r="Q262" i="4"/>
  <c r="O262" i="4"/>
  <c r="Q261" i="4"/>
  <c r="O261" i="4"/>
  <c r="Q260" i="4"/>
  <c r="O260" i="4"/>
  <c r="Q259" i="4"/>
  <c r="O259" i="4"/>
  <c r="Q258" i="4"/>
  <c r="O258" i="4"/>
  <c r="Q257" i="4"/>
  <c r="O257" i="4"/>
  <c r="Q256" i="4"/>
  <c r="O256" i="4"/>
  <c r="Q255" i="4"/>
  <c r="O255" i="4"/>
  <c r="Q254" i="4"/>
  <c r="O254" i="4"/>
  <c r="Q253" i="4"/>
  <c r="O253" i="4"/>
  <c r="Q252" i="4"/>
  <c r="O252" i="4"/>
  <c r="Q251" i="4"/>
  <c r="O251" i="4"/>
  <c r="Q250" i="4"/>
  <c r="O250" i="4"/>
  <c r="Q249" i="4"/>
  <c r="O249" i="4"/>
  <c r="Q248" i="4"/>
  <c r="O248" i="4"/>
  <c r="Q247" i="4"/>
  <c r="O247" i="4"/>
  <c r="Q246" i="4"/>
  <c r="O246" i="4"/>
  <c r="Q245" i="4"/>
  <c r="O245" i="4"/>
  <c r="Q244" i="4"/>
  <c r="O244" i="4"/>
  <c r="Q243" i="4"/>
  <c r="O243" i="4"/>
  <c r="Q242" i="4"/>
  <c r="O242" i="4"/>
  <c r="Q241" i="4"/>
  <c r="O241" i="4"/>
  <c r="Q240" i="4"/>
  <c r="O240" i="4"/>
  <c r="Q239" i="4"/>
  <c r="O239" i="4"/>
  <c r="Q238" i="4"/>
  <c r="O238" i="4"/>
  <c r="Q237" i="4"/>
  <c r="O237" i="4"/>
  <c r="Q236" i="4"/>
  <c r="O236" i="4"/>
  <c r="Q235" i="4"/>
  <c r="O235" i="4"/>
  <c r="Q234" i="4"/>
  <c r="O234" i="4"/>
  <c r="Q233" i="4"/>
  <c r="O233" i="4"/>
  <c r="Q232" i="4"/>
  <c r="O232" i="4"/>
  <c r="Q231" i="4"/>
  <c r="O231" i="4"/>
  <c r="Q230" i="4"/>
  <c r="O230" i="4"/>
  <c r="Q229" i="4"/>
  <c r="O229" i="4"/>
  <c r="Q228" i="4"/>
  <c r="O228" i="4"/>
  <c r="Q227" i="4"/>
  <c r="O227" i="4"/>
  <c r="Q226" i="4"/>
  <c r="O226" i="4"/>
  <c r="Q225" i="4"/>
  <c r="O225" i="4"/>
  <c r="Q224" i="4"/>
  <c r="O224" i="4"/>
  <c r="Q223" i="4"/>
  <c r="O223" i="4"/>
  <c r="Q222" i="4"/>
  <c r="O222" i="4"/>
  <c r="Q221" i="4"/>
  <c r="O221" i="4"/>
  <c r="Q220" i="4"/>
  <c r="O220" i="4"/>
  <c r="Q219" i="4"/>
  <c r="O219" i="4"/>
  <c r="Q218" i="4"/>
  <c r="O218" i="4"/>
  <c r="Q217" i="4"/>
  <c r="O217" i="4"/>
  <c r="Q216" i="4"/>
  <c r="O216" i="4"/>
  <c r="Q215" i="4"/>
  <c r="O215" i="4"/>
  <c r="Q214" i="4"/>
  <c r="O214" i="4"/>
  <c r="Q213" i="4"/>
  <c r="O213" i="4"/>
  <c r="Q212" i="4"/>
  <c r="O212" i="4"/>
  <c r="Q211" i="4"/>
  <c r="O211" i="4"/>
  <c r="Q210" i="4"/>
  <c r="O210" i="4"/>
  <c r="Q209" i="4"/>
  <c r="O209" i="4"/>
  <c r="Q208" i="4"/>
  <c r="O208" i="4"/>
  <c r="Q207" i="4"/>
  <c r="O207" i="4"/>
  <c r="Q206" i="4"/>
  <c r="O206" i="4"/>
  <c r="Q205" i="4"/>
  <c r="O205" i="4"/>
  <c r="Q204" i="4"/>
  <c r="O204" i="4"/>
  <c r="Q203" i="4"/>
  <c r="O203" i="4"/>
  <c r="Q202" i="4"/>
  <c r="O202" i="4"/>
  <c r="Q201" i="4"/>
  <c r="O201" i="4"/>
  <c r="Q200" i="4"/>
  <c r="O200" i="4"/>
  <c r="Q199" i="4"/>
  <c r="O199" i="4"/>
  <c r="Q198" i="4"/>
  <c r="O198" i="4"/>
  <c r="Q197" i="4"/>
  <c r="O197" i="4"/>
  <c r="Q196" i="4"/>
  <c r="O196" i="4"/>
  <c r="Q195" i="4"/>
  <c r="O195" i="4"/>
  <c r="Q194" i="4"/>
  <c r="O194" i="4"/>
  <c r="Q193" i="4"/>
  <c r="O193" i="4"/>
  <c r="Q192" i="4"/>
  <c r="O192" i="4"/>
  <c r="Q191" i="4"/>
  <c r="O191" i="4"/>
  <c r="Q190" i="4"/>
  <c r="O190" i="4"/>
  <c r="Q189" i="4"/>
  <c r="O189" i="4"/>
  <c r="Q188" i="4"/>
  <c r="O188" i="4"/>
  <c r="Q187" i="4"/>
  <c r="O187" i="4"/>
  <c r="Q186" i="4"/>
  <c r="O186" i="4"/>
  <c r="Q185" i="4"/>
  <c r="O185" i="4"/>
  <c r="Q184" i="4"/>
  <c r="O184" i="4"/>
  <c r="Q183" i="4"/>
  <c r="O183" i="4"/>
  <c r="Q182" i="4"/>
  <c r="O182" i="4"/>
  <c r="Q181" i="4"/>
  <c r="O181" i="4"/>
  <c r="Q180" i="4"/>
  <c r="O180" i="4"/>
  <c r="Q179" i="4"/>
  <c r="O179" i="4"/>
  <c r="Q178" i="4"/>
  <c r="O178" i="4"/>
  <c r="Q177" i="4"/>
  <c r="O177" i="4"/>
  <c r="Q176" i="4"/>
  <c r="O176" i="4"/>
  <c r="Q175" i="4"/>
  <c r="O175" i="4"/>
  <c r="I10" i="8"/>
  <c r="G280" i="2" s="1"/>
  <c r="H219" i="2" l="1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286" i="5"/>
  <c r="O287" i="5"/>
  <c r="O288" i="5"/>
  <c r="O289" i="5"/>
  <c r="O290" i="5"/>
  <c r="O291" i="5"/>
  <c r="O292" i="5"/>
  <c r="N4" i="5" l="1"/>
  <c r="M4" i="5"/>
  <c r="A4" i="5"/>
  <c r="AB4" i="5" l="1"/>
  <c r="W4" i="5"/>
  <c r="V4" i="5"/>
  <c r="I37" i="8"/>
  <c r="F52" i="3" l="1"/>
  <c r="I40" i="8" l="1"/>
  <c r="F58" i="3"/>
  <c r="F55" i="3"/>
  <c r="F54" i="3"/>
  <c r="F53" i="3"/>
  <c r="F51" i="3"/>
  <c r="F50" i="3"/>
  <c r="F45" i="3"/>
  <c r="F41" i="3"/>
  <c r="F44" i="3"/>
  <c r="F40" i="3"/>
  <c r="F36" i="3"/>
  <c r="F25" i="3"/>
  <c r="F24" i="3"/>
  <c r="F23" i="3"/>
  <c r="F18" i="3"/>
  <c r="F19" i="3"/>
  <c r="F20" i="3"/>
  <c r="F21" i="3"/>
  <c r="F17" i="3"/>
  <c r="F10" i="3"/>
  <c r="F5" i="3"/>
  <c r="F4" i="3"/>
  <c r="G29" i="8" l="1"/>
  <c r="I29" i="8" s="1"/>
  <c r="G28" i="8"/>
  <c r="I28" i="8" s="1"/>
  <c r="G39" i="8"/>
  <c r="I39" i="8" s="1"/>
  <c r="I36" i="8"/>
  <c r="G35" i="8"/>
  <c r="I35" i="8" s="1"/>
  <c r="G34" i="8"/>
  <c r="I34" i="8" s="1"/>
  <c r="G33" i="8"/>
  <c r="I33" i="8" s="1"/>
  <c r="G32" i="8"/>
  <c r="I32" i="8" s="1"/>
  <c r="G31" i="8"/>
  <c r="G30" i="8"/>
  <c r="I27" i="8"/>
  <c r="I26" i="8"/>
  <c r="G25" i="8"/>
  <c r="I25" i="8" s="1"/>
  <c r="G24" i="8"/>
  <c r="I24" i="8" s="1"/>
  <c r="G23" i="8"/>
  <c r="I23" i="8" s="1"/>
  <c r="H30" i="8"/>
  <c r="H31" i="8"/>
  <c r="G18" i="8"/>
  <c r="I18" i="8" s="1"/>
  <c r="G22" i="8"/>
  <c r="I22" i="8" s="1"/>
  <c r="G21" i="8"/>
  <c r="I21" i="8" s="1"/>
  <c r="G20" i="8"/>
  <c r="I20" i="8" s="1"/>
  <c r="G19" i="8"/>
  <c r="I19" i="8" s="1"/>
  <c r="I15" i="8"/>
  <c r="I16" i="8"/>
  <c r="G17" i="8"/>
  <c r="I17" i="8" s="1"/>
  <c r="I14" i="8"/>
  <c r="E8" i="8"/>
  <c r="E7" i="8"/>
  <c r="E6" i="8"/>
  <c r="I7" i="8"/>
  <c r="I30" i="8" l="1"/>
  <c r="I31" i="8"/>
  <c r="H124" i="2" l="1"/>
  <c r="H125" i="2"/>
  <c r="D37" i="6"/>
  <c r="A1" i="2"/>
  <c r="AN37" i="6" l="1"/>
  <c r="F37" i="6"/>
  <c r="AL37" i="6"/>
  <c r="AP37" i="6"/>
  <c r="AB37" i="6"/>
  <c r="AF37" i="6"/>
  <c r="AJ37" i="6"/>
  <c r="Z37" i="6"/>
  <c r="AT37" i="6"/>
  <c r="V37" i="6"/>
  <c r="L37" i="6"/>
  <c r="X37" i="6"/>
  <c r="T37" i="6"/>
  <c r="J37" i="6"/>
  <c r="R37" i="6"/>
  <c r="H37" i="6"/>
  <c r="AR37" i="6"/>
  <c r="AH37" i="6"/>
  <c r="N37" i="6"/>
  <c r="E34" i="1" l="1"/>
  <c r="B26" i="1"/>
  <c r="B25" i="1"/>
  <c r="E28" i="1" l="1"/>
  <c r="E55" i="4" s="1"/>
  <c r="D47" i="6" l="1"/>
  <c r="G74" i="2" s="1"/>
  <c r="H74" i="2" s="1"/>
  <c r="D50" i="6"/>
  <c r="D51" i="6"/>
  <c r="D52" i="6"/>
  <c r="AD47" i="6" l="1"/>
  <c r="H75" i="2"/>
  <c r="AL47" i="6"/>
  <c r="AN47" i="6"/>
  <c r="AL50" i="6"/>
  <c r="AN50" i="6"/>
  <c r="AL52" i="6"/>
  <c r="AN52" i="6"/>
  <c r="AL51" i="6"/>
  <c r="AN51" i="6"/>
  <c r="AV51" i="6"/>
  <c r="AV50" i="6"/>
  <c r="AV47" i="6"/>
  <c r="AV52" i="6"/>
  <c r="G122" i="2"/>
  <c r="H122" i="2" s="1"/>
  <c r="G123" i="2"/>
  <c r="H123" i="2" s="1"/>
  <c r="E32" i="1"/>
  <c r="F33" i="3"/>
  <c r="G13" i="8"/>
  <c r="I13" i="8" s="1"/>
  <c r="B33" i="1"/>
  <c r="B34" i="1"/>
  <c r="F6" i="3"/>
  <c r="G12" i="8"/>
  <c r="G218" i="2"/>
  <c r="H214" i="2"/>
  <c r="H213" i="2"/>
  <c r="H212" i="2"/>
  <c r="I12" i="8" l="1"/>
  <c r="H218" i="2"/>
  <c r="D214" i="6"/>
  <c r="D213" i="6"/>
  <c r="R219" i="6"/>
  <c r="D218" i="6"/>
  <c r="AN218" i="6" s="1"/>
  <c r="R4" i="5"/>
  <c r="Q4" i="5"/>
  <c r="J4" i="5"/>
  <c r="I4" i="5"/>
  <c r="G4" i="5"/>
  <c r="AI4" i="5" s="1"/>
  <c r="P18" i="1"/>
  <c r="P19" i="1"/>
  <c r="P20" i="1"/>
  <c r="L214" i="6" l="1"/>
  <c r="V214" i="6"/>
  <c r="J214" i="6"/>
  <c r="F214" i="6"/>
  <c r="N214" i="6"/>
  <c r="X214" i="6"/>
  <c r="H214" i="6"/>
  <c r="R214" i="6"/>
  <c r="Z214" i="6"/>
  <c r="T214" i="6"/>
  <c r="AL214" i="6"/>
  <c r="AN214" i="6"/>
  <c r="AL213" i="6"/>
  <c r="AN213" i="6"/>
  <c r="AL218" i="6"/>
  <c r="AV213" i="6"/>
  <c r="F4" i="5"/>
  <c r="AJ4" i="5"/>
  <c r="G76" i="2"/>
  <c r="H76" i="2" s="1"/>
  <c r="AV214" i="6"/>
  <c r="G64" i="2"/>
  <c r="H64" i="2" s="1"/>
  <c r="H218" i="6"/>
  <c r="J218" i="6"/>
  <c r="J213" i="6"/>
  <c r="N213" i="6"/>
  <c r="X213" i="6"/>
  <c r="V213" i="6"/>
  <c r="T213" i="6"/>
  <c r="Z213" i="6"/>
  <c r="AF213" i="6"/>
  <c r="AH213" i="6"/>
  <c r="AJ213" i="6"/>
  <c r="AP213" i="6"/>
  <c r="AR213" i="6"/>
  <c r="AT213" i="6"/>
  <c r="L213" i="6"/>
  <c r="F218" i="6"/>
  <c r="N218" i="6"/>
  <c r="X218" i="6"/>
  <c r="V218" i="6"/>
  <c r="T218" i="6"/>
  <c r="Z218" i="6"/>
  <c r="AF218" i="6"/>
  <c r="AH218" i="6"/>
  <c r="AJ218" i="6"/>
  <c r="AP218" i="6"/>
  <c r="AR218" i="6"/>
  <c r="AT218" i="6"/>
  <c r="AB218" i="6"/>
  <c r="L218" i="6"/>
  <c r="R218" i="6"/>
  <c r="AP214" i="6"/>
  <c r="AJ214" i="6"/>
  <c r="AH214" i="6"/>
  <c r="AF214" i="6"/>
  <c r="AT214" i="6"/>
  <c r="AR214" i="6"/>
  <c r="R213" i="6"/>
  <c r="F213" i="6"/>
  <c r="H213" i="6"/>
  <c r="AB213" i="6"/>
  <c r="G6" i="7"/>
  <c r="G7" i="7"/>
  <c r="G152" i="2" s="1"/>
  <c r="H152" i="2" s="1"/>
  <c r="G8" i="7"/>
  <c r="G9" i="7"/>
  <c r="G10" i="7"/>
  <c r="G11" i="7"/>
  <c r="G12" i="7"/>
  <c r="G13" i="7"/>
  <c r="G14" i="7"/>
  <c r="G15" i="7"/>
  <c r="G16" i="7"/>
  <c r="G17" i="7"/>
  <c r="G153" i="2" s="1"/>
  <c r="H153" i="2" s="1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163" i="2" s="1"/>
  <c r="H163" i="2" s="1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3" i="7"/>
  <c r="G75" i="7"/>
  <c r="G76" i="7"/>
  <c r="G77" i="7"/>
  <c r="G78" i="7"/>
  <c r="G79" i="7"/>
  <c r="G80" i="7"/>
  <c r="G81" i="7"/>
  <c r="G82" i="7"/>
  <c r="G83" i="7"/>
  <c r="G84" i="7"/>
  <c r="G85" i="7"/>
  <c r="G191" i="2" s="1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200" i="2" s="1"/>
  <c r="G117" i="7"/>
  <c r="G201" i="2" s="1"/>
  <c r="G118" i="7"/>
  <c r="G119" i="7"/>
  <c r="G120" i="7"/>
  <c r="G277" i="2" s="1"/>
  <c r="H277" i="2" s="1"/>
  <c r="G122" i="7"/>
  <c r="G123" i="7"/>
  <c r="G124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5" i="7"/>
  <c r="D9" i="6"/>
  <c r="D10" i="6"/>
  <c r="D11" i="6"/>
  <c r="D12" i="6"/>
  <c r="D13" i="6"/>
  <c r="D14" i="6"/>
  <c r="D15" i="6"/>
  <c r="D16" i="6"/>
  <c r="D19" i="6"/>
  <c r="D20" i="6"/>
  <c r="D21" i="6"/>
  <c r="D22" i="6"/>
  <c r="D23" i="6"/>
  <c r="D24" i="6"/>
  <c r="D25" i="6"/>
  <c r="D26" i="6"/>
  <c r="D27" i="6"/>
  <c r="D28" i="6"/>
  <c r="G12" i="2" s="1"/>
  <c r="D29" i="6"/>
  <c r="D30" i="6"/>
  <c r="D31" i="6"/>
  <c r="D33" i="6"/>
  <c r="D35" i="6"/>
  <c r="D36" i="6"/>
  <c r="D38" i="6"/>
  <c r="H65" i="2"/>
  <c r="D40" i="6"/>
  <c r="G66" i="2" s="1"/>
  <c r="D41" i="6"/>
  <c r="G67" i="2" s="1"/>
  <c r="D44" i="6"/>
  <c r="D45" i="6"/>
  <c r="D46" i="6"/>
  <c r="D53" i="6"/>
  <c r="D54" i="6"/>
  <c r="D58" i="6"/>
  <c r="D59" i="6"/>
  <c r="D63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AD130" i="6" s="1"/>
  <c r="D131" i="6"/>
  <c r="D132" i="6"/>
  <c r="D133" i="6"/>
  <c r="D134" i="6"/>
  <c r="D135" i="6"/>
  <c r="D136" i="6"/>
  <c r="D137" i="6"/>
  <c r="D138" i="6"/>
  <c r="AD138" i="6" s="1"/>
  <c r="D139" i="6"/>
  <c r="D140" i="6"/>
  <c r="D141" i="6"/>
  <c r="D142" i="6"/>
  <c r="D143" i="6"/>
  <c r="D144" i="6"/>
  <c r="D145" i="6"/>
  <c r="D146" i="6"/>
  <c r="D147" i="6"/>
  <c r="AD147" i="6" s="1"/>
  <c r="D148" i="6"/>
  <c r="D149" i="6"/>
  <c r="D150" i="6"/>
  <c r="D151" i="6"/>
  <c r="AD151" i="6" s="1"/>
  <c r="D152" i="6"/>
  <c r="D153" i="6"/>
  <c r="D154" i="6"/>
  <c r="D155" i="6"/>
  <c r="D156" i="6"/>
  <c r="D157" i="6"/>
  <c r="AD157" i="6" s="1"/>
  <c r="D158" i="6"/>
  <c r="D159" i="6"/>
  <c r="D160" i="6"/>
  <c r="D161" i="6"/>
  <c r="D162" i="6"/>
  <c r="D163" i="6"/>
  <c r="D164" i="6"/>
  <c r="D165" i="6"/>
  <c r="D166" i="6"/>
  <c r="D167" i="6"/>
  <c r="AD167" i="6" s="1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AN208" i="6" s="1"/>
  <c r="D209" i="6"/>
  <c r="D210" i="6"/>
  <c r="D211" i="6"/>
  <c r="P211" i="6" s="1"/>
  <c r="D212" i="6"/>
  <c r="F46" i="3"/>
  <c r="H66" i="2" l="1"/>
  <c r="G26" i="3"/>
  <c r="H26" i="3" s="1"/>
  <c r="P23" i="6"/>
  <c r="G51" i="2"/>
  <c r="H51" i="2" s="1"/>
  <c r="G27" i="3"/>
  <c r="H27" i="3" s="1"/>
  <c r="H67" i="2"/>
  <c r="P77" i="6"/>
  <c r="G15" i="2"/>
  <c r="AN13" i="6"/>
  <c r="AN9" i="6"/>
  <c r="P184" i="6"/>
  <c r="G29" i="2"/>
  <c r="G14" i="2"/>
  <c r="AN12" i="6"/>
  <c r="P87" i="6"/>
  <c r="G25" i="2"/>
  <c r="G13" i="2"/>
  <c r="H13" i="2" s="1"/>
  <c r="AN11" i="6"/>
  <c r="P110" i="6"/>
  <c r="G24" i="2"/>
  <c r="AN14" i="6"/>
  <c r="AN10" i="6"/>
  <c r="G151" i="2"/>
  <c r="H151" i="2" s="1"/>
  <c r="G154" i="2"/>
  <c r="H154" i="2" s="1"/>
  <c r="AD45" i="6"/>
  <c r="AD220" i="6" s="1"/>
  <c r="AL205" i="6"/>
  <c r="AN205" i="6"/>
  <c r="AL201" i="6"/>
  <c r="AN201" i="6"/>
  <c r="AL193" i="6"/>
  <c r="AN193" i="6"/>
  <c r="AL184" i="6"/>
  <c r="AN184" i="6"/>
  <c r="AL176" i="6"/>
  <c r="AN176" i="6"/>
  <c r="AL172" i="6"/>
  <c r="AN172" i="6"/>
  <c r="AL164" i="6"/>
  <c r="AN164" i="6"/>
  <c r="AL156" i="6"/>
  <c r="AN156" i="6"/>
  <c r="AL152" i="6"/>
  <c r="AN152" i="6"/>
  <c r="AL144" i="6"/>
  <c r="AN144" i="6"/>
  <c r="AL136" i="6"/>
  <c r="AN136" i="6"/>
  <c r="AL128" i="6"/>
  <c r="AN128" i="6"/>
  <c r="AL120" i="6"/>
  <c r="AN120" i="6"/>
  <c r="AL116" i="6"/>
  <c r="AN116" i="6"/>
  <c r="AL108" i="6"/>
  <c r="AN108" i="6"/>
  <c r="AL100" i="6"/>
  <c r="AN100" i="6"/>
  <c r="AL92" i="6"/>
  <c r="AN92" i="6"/>
  <c r="AL84" i="6"/>
  <c r="AN84" i="6"/>
  <c r="AL76" i="6"/>
  <c r="AN76" i="6"/>
  <c r="AL72" i="6"/>
  <c r="AN72" i="6"/>
  <c r="AL63" i="6"/>
  <c r="AN63" i="6"/>
  <c r="AL54" i="6"/>
  <c r="AN54" i="6"/>
  <c r="AL26" i="6"/>
  <c r="AN26" i="6"/>
  <c r="AL20" i="6"/>
  <c r="AN20" i="6"/>
  <c r="AL16" i="6"/>
  <c r="AN16" i="6"/>
  <c r="AL200" i="6"/>
  <c r="AN200" i="6"/>
  <c r="AL187" i="6"/>
  <c r="AN187" i="6"/>
  <c r="AL175" i="6"/>
  <c r="AN175" i="6"/>
  <c r="AL167" i="6"/>
  <c r="AN167" i="6"/>
  <c r="AL159" i="6"/>
  <c r="AN159" i="6"/>
  <c r="AL147" i="6"/>
  <c r="AN147" i="6"/>
  <c r="AL135" i="6"/>
  <c r="AN135" i="6"/>
  <c r="AL127" i="6"/>
  <c r="AN127" i="6"/>
  <c r="AL119" i="6"/>
  <c r="AN119" i="6"/>
  <c r="AL111" i="6"/>
  <c r="AN111" i="6"/>
  <c r="AL103" i="6"/>
  <c r="AN103" i="6"/>
  <c r="AL95" i="6"/>
  <c r="AN95" i="6"/>
  <c r="AL91" i="6"/>
  <c r="AN91" i="6"/>
  <c r="AL87" i="6"/>
  <c r="AN87" i="6"/>
  <c r="AL79" i="6"/>
  <c r="AN79" i="6"/>
  <c r="AL75" i="6"/>
  <c r="AN75" i="6"/>
  <c r="AL71" i="6"/>
  <c r="AN71" i="6"/>
  <c r="AL67" i="6"/>
  <c r="AN67" i="6"/>
  <c r="AL59" i="6"/>
  <c r="AN59" i="6"/>
  <c r="AL53" i="6"/>
  <c r="AN53" i="6"/>
  <c r="AL41" i="6"/>
  <c r="AN41" i="6"/>
  <c r="AL38" i="6"/>
  <c r="AN38" i="6"/>
  <c r="AL36" i="6"/>
  <c r="AN36" i="6"/>
  <c r="AL28" i="6"/>
  <c r="AN28" i="6"/>
  <c r="AL25" i="6"/>
  <c r="AN25" i="6"/>
  <c r="AL23" i="6"/>
  <c r="AN23" i="6"/>
  <c r="AL15" i="6"/>
  <c r="AN15" i="6"/>
  <c r="AL211" i="6"/>
  <c r="AN211" i="6"/>
  <c r="AL207" i="6"/>
  <c r="AN207" i="6"/>
  <c r="AL203" i="6"/>
  <c r="AN203" i="6"/>
  <c r="AL199" i="6"/>
  <c r="AN199" i="6"/>
  <c r="AL195" i="6"/>
  <c r="AN195" i="6"/>
  <c r="AL191" i="6"/>
  <c r="AN191" i="6"/>
  <c r="AL186" i="6"/>
  <c r="AN186" i="6"/>
  <c r="AL182" i="6"/>
  <c r="AN182" i="6"/>
  <c r="AL178" i="6"/>
  <c r="AN178" i="6"/>
  <c r="AL174" i="6"/>
  <c r="AN174" i="6"/>
  <c r="AL170" i="6"/>
  <c r="AN170" i="6"/>
  <c r="AL166" i="6"/>
  <c r="AN166" i="6"/>
  <c r="AL162" i="6"/>
  <c r="AN162" i="6"/>
  <c r="AL158" i="6"/>
  <c r="AN158" i="6"/>
  <c r="AL154" i="6"/>
  <c r="AN154" i="6"/>
  <c r="AL150" i="6"/>
  <c r="AN150" i="6"/>
  <c r="AL146" i="6"/>
  <c r="AN146" i="6"/>
  <c r="AL142" i="6"/>
  <c r="AN142" i="6"/>
  <c r="AL138" i="6"/>
  <c r="AN138" i="6"/>
  <c r="AL134" i="6"/>
  <c r="AN134" i="6"/>
  <c r="AL130" i="6"/>
  <c r="AN130" i="6"/>
  <c r="AL126" i="6"/>
  <c r="AN126" i="6"/>
  <c r="AL122" i="6"/>
  <c r="AN122" i="6"/>
  <c r="AL118" i="6"/>
  <c r="AN118" i="6"/>
  <c r="AL114" i="6"/>
  <c r="AN114" i="6"/>
  <c r="AL110" i="6"/>
  <c r="AN110" i="6"/>
  <c r="AL106" i="6"/>
  <c r="AN106" i="6"/>
  <c r="AL102" i="6"/>
  <c r="AN102" i="6"/>
  <c r="AL98" i="6"/>
  <c r="AN98" i="6"/>
  <c r="AL94" i="6"/>
  <c r="AN94" i="6"/>
  <c r="AL90" i="6"/>
  <c r="AN90" i="6"/>
  <c r="AL86" i="6"/>
  <c r="AN86" i="6"/>
  <c r="AL82" i="6"/>
  <c r="AN82" i="6"/>
  <c r="AL78" i="6"/>
  <c r="AN78" i="6"/>
  <c r="AL74" i="6"/>
  <c r="AN74" i="6"/>
  <c r="AL70" i="6"/>
  <c r="AN70" i="6"/>
  <c r="AL66" i="6"/>
  <c r="AN66" i="6"/>
  <c r="AL58" i="6"/>
  <c r="AN58" i="6"/>
  <c r="AL46" i="6"/>
  <c r="AN46" i="6"/>
  <c r="AL40" i="6"/>
  <c r="AN40" i="6"/>
  <c r="AL35" i="6"/>
  <c r="AN35" i="6"/>
  <c r="AL31" i="6"/>
  <c r="AN31" i="6"/>
  <c r="AL19" i="6"/>
  <c r="AN19" i="6"/>
  <c r="AL209" i="6"/>
  <c r="AN209" i="6"/>
  <c r="AL197" i="6"/>
  <c r="AN197" i="6"/>
  <c r="AL189" i="6"/>
  <c r="AN189" i="6"/>
  <c r="AL180" i="6"/>
  <c r="AN180" i="6"/>
  <c r="AL168" i="6"/>
  <c r="AN168" i="6"/>
  <c r="AL160" i="6"/>
  <c r="AN160" i="6"/>
  <c r="AL148" i="6"/>
  <c r="AN148" i="6"/>
  <c r="AL140" i="6"/>
  <c r="AN140" i="6"/>
  <c r="AL132" i="6"/>
  <c r="AN132" i="6"/>
  <c r="AL124" i="6"/>
  <c r="AN124" i="6"/>
  <c r="AL112" i="6"/>
  <c r="AN112" i="6"/>
  <c r="AL104" i="6"/>
  <c r="AN104" i="6"/>
  <c r="AL96" i="6"/>
  <c r="AN96" i="6"/>
  <c r="AL88" i="6"/>
  <c r="AN88" i="6"/>
  <c r="AL80" i="6"/>
  <c r="AN80" i="6"/>
  <c r="AL68" i="6"/>
  <c r="AN68" i="6"/>
  <c r="AL44" i="6"/>
  <c r="AN44" i="6"/>
  <c r="AL29" i="6"/>
  <c r="AN29" i="6"/>
  <c r="AL212" i="6"/>
  <c r="AN212" i="6"/>
  <c r="AL204" i="6"/>
  <c r="AN204" i="6"/>
  <c r="AL196" i="6"/>
  <c r="AN196" i="6"/>
  <c r="AL192" i="6"/>
  <c r="AN192" i="6"/>
  <c r="AL183" i="6"/>
  <c r="AN183" i="6"/>
  <c r="AL179" i="6"/>
  <c r="AN179" i="6"/>
  <c r="AL171" i="6"/>
  <c r="AN171" i="6"/>
  <c r="AL163" i="6"/>
  <c r="AN163" i="6"/>
  <c r="AL155" i="6"/>
  <c r="AN155" i="6"/>
  <c r="AL151" i="6"/>
  <c r="AN151" i="6"/>
  <c r="AL143" i="6"/>
  <c r="AN143" i="6"/>
  <c r="AL139" i="6"/>
  <c r="AN139" i="6"/>
  <c r="AL131" i="6"/>
  <c r="AN131" i="6"/>
  <c r="AL123" i="6"/>
  <c r="AN123" i="6"/>
  <c r="AL115" i="6"/>
  <c r="AN115" i="6"/>
  <c r="AL107" i="6"/>
  <c r="AN107" i="6"/>
  <c r="AL99" i="6"/>
  <c r="AN99" i="6"/>
  <c r="AL83" i="6"/>
  <c r="AN83" i="6"/>
  <c r="AL210" i="6"/>
  <c r="AN210" i="6"/>
  <c r="AL206" i="6"/>
  <c r="AN206" i="6"/>
  <c r="AL202" i="6"/>
  <c r="AN202" i="6"/>
  <c r="AL198" i="6"/>
  <c r="AN198" i="6"/>
  <c r="AL194" i="6"/>
  <c r="AN194" i="6"/>
  <c r="AL190" i="6"/>
  <c r="AN190" i="6"/>
  <c r="AL185" i="6"/>
  <c r="AN185" i="6"/>
  <c r="AL181" i="6"/>
  <c r="AN181" i="6"/>
  <c r="AL177" i="6"/>
  <c r="AN177" i="6"/>
  <c r="AL173" i="6"/>
  <c r="AN173" i="6"/>
  <c r="AL169" i="6"/>
  <c r="AN169" i="6"/>
  <c r="AL165" i="6"/>
  <c r="AN165" i="6"/>
  <c r="AL161" i="6"/>
  <c r="AN161" i="6"/>
  <c r="AL157" i="6"/>
  <c r="AN157" i="6"/>
  <c r="AL153" i="6"/>
  <c r="AN153" i="6"/>
  <c r="AL149" i="6"/>
  <c r="AN149" i="6"/>
  <c r="AL145" i="6"/>
  <c r="AN145" i="6"/>
  <c r="AL141" i="6"/>
  <c r="AN141" i="6"/>
  <c r="AL137" i="6"/>
  <c r="AN137" i="6"/>
  <c r="AL133" i="6"/>
  <c r="AN133" i="6"/>
  <c r="AL129" i="6"/>
  <c r="AN129" i="6"/>
  <c r="AL125" i="6"/>
  <c r="AN125" i="6"/>
  <c r="AL121" i="6"/>
  <c r="AN121" i="6"/>
  <c r="AL117" i="6"/>
  <c r="AN117" i="6"/>
  <c r="AL113" i="6"/>
  <c r="AN113" i="6"/>
  <c r="AL109" i="6"/>
  <c r="AN109" i="6"/>
  <c r="AL105" i="6"/>
  <c r="AN105" i="6"/>
  <c r="AL101" i="6"/>
  <c r="AN101" i="6"/>
  <c r="AL97" i="6"/>
  <c r="AN97" i="6"/>
  <c r="AL93" i="6"/>
  <c r="AN93" i="6"/>
  <c r="AL89" i="6"/>
  <c r="AN89" i="6"/>
  <c r="AL85" i="6"/>
  <c r="AN85" i="6"/>
  <c r="AL81" i="6"/>
  <c r="AN81" i="6"/>
  <c r="AL77" i="6"/>
  <c r="AN77" i="6"/>
  <c r="AL73" i="6"/>
  <c r="AN73" i="6"/>
  <c r="AL69" i="6"/>
  <c r="AN69" i="6"/>
  <c r="AL65" i="6"/>
  <c r="AN65" i="6"/>
  <c r="AL56" i="6"/>
  <c r="AN56" i="6"/>
  <c r="AL45" i="6"/>
  <c r="AN45" i="6"/>
  <c r="AL33" i="6"/>
  <c r="AN33" i="6"/>
  <c r="AL30" i="6"/>
  <c r="AN30" i="6"/>
  <c r="AL27" i="6"/>
  <c r="AN27" i="6"/>
  <c r="AL24" i="6"/>
  <c r="AN24" i="6"/>
  <c r="AL22" i="6"/>
  <c r="AN22" i="6"/>
  <c r="AL21" i="6"/>
  <c r="AN21" i="6"/>
  <c r="BD12" i="6"/>
  <c r="AL12" i="6"/>
  <c r="BB11" i="6"/>
  <c r="AL11" i="6"/>
  <c r="G121" i="2"/>
  <c r="H121" i="2" s="1"/>
  <c r="AL208" i="6"/>
  <c r="BH14" i="6"/>
  <c r="AL14" i="6"/>
  <c r="AZ10" i="6"/>
  <c r="AL10" i="6"/>
  <c r="BF13" i="6"/>
  <c r="AL13" i="6"/>
  <c r="AX9" i="6"/>
  <c r="AL9" i="6"/>
  <c r="AV212" i="6"/>
  <c r="AV208" i="6"/>
  <c r="AV187" i="6"/>
  <c r="AV183" i="6"/>
  <c r="AV167" i="6"/>
  <c r="AV151" i="6"/>
  <c r="AV147" i="6"/>
  <c r="AV123" i="6"/>
  <c r="AV115" i="6"/>
  <c r="AV87" i="6"/>
  <c r="AV83" i="6"/>
  <c r="BF79" i="6"/>
  <c r="AX79" i="6"/>
  <c r="AV79" i="6"/>
  <c r="BD79" i="6"/>
  <c r="BB79" i="6"/>
  <c r="BH79" i="6"/>
  <c r="AZ79" i="6"/>
  <c r="AV67" i="6"/>
  <c r="AV53" i="6"/>
  <c r="AV211" i="6"/>
  <c r="AV191" i="6"/>
  <c r="AV186" i="6"/>
  <c r="AV158" i="6"/>
  <c r="AV138" i="6"/>
  <c r="AV130" i="6"/>
  <c r="AV122" i="6"/>
  <c r="AV118" i="6"/>
  <c r="AV110" i="6"/>
  <c r="AV82" i="6"/>
  <c r="AV78" i="6"/>
  <c r="AV74" i="6"/>
  <c r="AV70" i="6"/>
  <c r="AV46" i="6"/>
  <c r="AV207" i="6"/>
  <c r="AV206" i="6"/>
  <c r="AV190" i="6"/>
  <c r="AV157" i="6"/>
  <c r="AV125" i="6"/>
  <c r="AV121" i="6"/>
  <c r="AV117" i="6"/>
  <c r="AV97" i="6"/>
  <c r="AV77" i="6"/>
  <c r="AV65" i="6"/>
  <c r="AV56" i="6"/>
  <c r="AV189" i="6"/>
  <c r="AV184" i="6"/>
  <c r="AV160" i="6"/>
  <c r="AV148" i="6"/>
  <c r="AV132" i="6"/>
  <c r="AV124" i="6"/>
  <c r="AV104" i="6"/>
  <c r="AV88" i="6"/>
  <c r="AV84" i="6"/>
  <c r="AV80" i="6"/>
  <c r="AV63" i="6"/>
  <c r="AV54" i="6"/>
  <c r="AV209" i="6"/>
  <c r="AV197" i="6"/>
  <c r="AV193" i="6"/>
  <c r="AV180" i="6"/>
  <c r="AV172" i="6"/>
  <c r="AV210" i="6"/>
  <c r="G120" i="2"/>
  <c r="H120" i="2" s="1"/>
  <c r="AV202" i="6"/>
  <c r="AV198" i="6"/>
  <c r="AV194" i="6"/>
  <c r="AV185" i="6"/>
  <c r="AV181" i="6"/>
  <c r="AV177" i="6"/>
  <c r="AV173" i="6"/>
  <c r="AV169" i="6"/>
  <c r="AV165" i="6"/>
  <c r="AV161" i="6"/>
  <c r="AV153" i="6"/>
  <c r="AV149" i="6"/>
  <c r="AV145" i="6"/>
  <c r="AV141" i="6"/>
  <c r="AV137" i="6"/>
  <c r="AV133" i="6"/>
  <c r="AV129" i="6"/>
  <c r="AV113" i="6"/>
  <c r="AV109" i="6"/>
  <c r="AV105" i="6"/>
  <c r="AV101" i="6"/>
  <c r="AV93" i="6"/>
  <c r="AV89" i="6"/>
  <c r="AV85" i="6"/>
  <c r="AV81" i="6"/>
  <c r="AV73" i="6"/>
  <c r="AV69" i="6"/>
  <c r="G57" i="2"/>
  <c r="H57" i="2" s="1"/>
  <c r="AV30" i="6"/>
  <c r="AV13" i="6"/>
  <c r="AV9" i="6"/>
  <c r="AV156" i="6"/>
  <c r="AV152" i="6"/>
  <c r="AV144" i="6"/>
  <c r="AV140" i="6"/>
  <c r="AV136" i="6"/>
  <c r="AV128" i="6"/>
  <c r="AV120" i="6"/>
  <c r="AV116" i="6"/>
  <c r="AV112" i="6"/>
  <c r="AV108" i="6"/>
  <c r="AV100" i="6"/>
  <c r="AV96" i="6"/>
  <c r="AV92" i="6"/>
  <c r="AV76" i="6"/>
  <c r="AV72" i="6"/>
  <c r="AV68" i="6"/>
  <c r="AV16" i="6"/>
  <c r="AV12" i="6"/>
  <c r="AV201" i="6"/>
  <c r="AV168" i="6"/>
  <c r="AV196" i="6"/>
  <c r="AV171" i="6"/>
  <c r="AV163" i="6"/>
  <c r="AV159" i="6"/>
  <c r="AV155" i="6"/>
  <c r="AV143" i="6"/>
  <c r="AV139" i="6"/>
  <c r="AV135" i="6"/>
  <c r="AV131" i="6"/>
  <c r="AV127" i="6"/>
  <c r="AV119" i="6"/>
  <c r="AV111" i="6"/>
  <c r="AV107" i="6"/>
  <c r="AV103" i="6"/>
  <c r="AV99" i="6"/>
  <c r="AV95" i="6"/>
  <c r="AV91" i="6"/>
  <c r="AV75" i="6"/>
  <c r="AV71" i="6"/>
  <c r="AV59" i="6"/>
  <c r="AV41" i="6"/>
  <c r="AV23" i="6"/>
  <c r="AV15" i="6"/>
  <c r="AV11" i="6"/>
  <c r="AV205" i="6"/>
  <c r="AV176" i="6"/>
  <c r="AV164" i="6"/>
  <c r="AV204" i="6"/>
  <c r="AV200" i="6"/>
  <c r="AV192" i="6"/>
  <c r="AV179" i="6"/>
  <c r="AV175" i="6"/>
  <c r="AV203" i="6"/>
  <c r="AV199" i="6"/>
  <c r="AV195" i="6"/>
  <c r="G33" i="3"/>
  <c r="H33" i="3" s="1"/>
  <c r="AV182" i="6"/>
  <c r="AV178" i="6"/>
  <c r="AV174" i="6"/>
  <c r="AV170" i="6"/>
  <c r="AV166" i="6"/>
  <c r="AV162" i="6"/>
  <c r="AV154" i="6"/>
  <c r="AV150" i="6"/>
  <c r="AV146" i="6"/>
  <c r="AV142" i="6"/>
  <c r="AV134" i="6"/>
  <c r="AV126" i="6"/>
  <c r="AV114" i="6"/>
  <c r="AV106" i="6"/>
  <c r="AV102" i="6"/>
  <c r="AV98" i="6"/>
  <c r="AV94" i="6"/>
  <c r="AV90" i="6"/>
  <c r="AV86" i="6"/>
  <c r="AV66" i="6"/>
  <c r="AV58" i="6"/>
  <c r="AV40" i="6"/>
  <c r="AV31" i="6"/>
  <c r="AV14" i="6"/>
  <c r="AV10" i="6"/>
  <c r="G140" i="2"/>
  <c r="G116" i="2"/>
  <c r="H116" i="2" s="1"/>
  <c r="G115" i="2"/>
  <c r="H115" i="2" s="1"/>
  <c r="G117" i="2"/>
  <c r="H117" i="2" s="1"/>
  <c r="G114" i="2"/>
  <c r="H114" i="2" s="1"/>
  <c r="G113" i="2"/>
  <c r="H113" i="2" s="1"/>
  <c r="G100" i="2"/>
  <c r="H100" i="2" s="1"/>
  <c r="G96" i="2"/>
  <c r="H96" i="2" s="1"/>
  <c r="G112" i="2"/>
  <c r="H112" i="2" s="1"/>
  <c r="G110" i="2"/>
  <c r="H110" i="2" s="1"/>
  <c r="G109" i="2"/>
  <c r="H109" i="2" s="1"/>
  <c r="G108" i="2"/>
  <c r="H108" i="2" s="1"/>
  <c r="G101" i="2"/>
  <c r="H101" i="2" s="1"/>
  <c r="G104" i="2"/>
  <c r="H104" i="2" s="1"/>
  <c r="G99" i="2"/>
  <c r="H99" i="2" s="1"/>
  <c r="G97" i="2"/>
  <c r="H97" i="2" s="1"/>
  <c r="G111" i="2"/>
  <c r="H111" i="2" s="1"/>
  <c r="G105" i="2"/>
  <c r="H105" i="2" s="1"/>
  <c r="G93" i="2"/>
  <c r="H93" i="2" s="1"/>
  <c r="G92" i="2"/>
  <c r="H92" i="2" s="1"/>
  <c r="G89" i="2"/>
  <c r="H89" i="2" s="1"/>
  <c r="G87" i="2"/>
  <c r="H87" i="2" s="1"/>
  <c r="G86" i="2"/>
  <c r="H86" i="2" s="1"/>
  <c r="G84" i="2"/>
  <c r="H84" i="2" s="1"/>
  <c r="G82" i="2"/>
  <c r="H82" i="2" s="1"/>
  <c r="G81" i="2"/>
  <c r="H81" i="2" s="1"/>
  <c r="G73" i="2"/>
  <c r="H73" i="2" s="1"/>
  <c r="G60" i="2"/>
  <c r="H60" i="2" s="1"/>
  <c r="G53" i="2"/>
  <c r="H53" i="2" s="1"/>
  <c r="G52" i="2"/>
  <c r="H52" i="2" s="1"/>
  <c r="G48" i="2"/>
  <c r="G39" i="2"/>
  <c r="G37" i="2"/>
  <c r="G35" i="2"/>
  <c r="G95" i="2"/>
  <c r="G94" i="2"/>
  <c r="H94" i="2" s="1"/>
  <c r="G91" i="2"/>
  <c r="H91" i="2" s="1"/>
  <c r="G90" i="2"/>
  <c r="H90" i="2" s="1"/>
  <c r="G88" i="2"/>
  <c r="H88" i="2" s="1"/>
  <c r="G85" i="2"/>
  <c r="H85" i="2" s="1"/>
  <c r="G83" i="2"/>
  <c r="G80" i="2"/>
  <c r="H80" i="2" s="1"/>
  <c r="G72" i="2"/>
  <c r="H72" i="2" s="1"/>
  <c r="G63" i="2"/>
  <c r="H63" i="2" s="1"/>
  <c r="G54" i="2"/>
  <c r="H54" i="2" s="1"/>
  <c r="G47" i="2"/>
  <c r="G43" i="2"/>
  <c r="G40" i="2"/>
  <c r="G38" i="2"/>
  <c r="G36" i="2"/>
  <c r="AR212" i="6"/>
  <c r="AT212" i="6"/>
  <c r="N212" i="6"/>
  <c r="X212" i="6"/>
  <c r="V212" i="6"/>
  <c r="T212" i="6"/>
  <c r="Z212" i="6"/>
  <c r="AF212" i="6"/>
  <c r="AH212" i="6"/>
  <c r="AJ212" i="6"/>
  <c r="AP212" i="6"/>
  <c r="R212" i="6"/>
  <c r="J212" i="6"/>
  <c r="H212" i="6"/>
  <c r="F212" i="6"/>
  <c r="AB212" i="6"/>
  <c r="L212" i="6"/>
  <c r="AT210" i="6"/>
  <c r="N210" i="6"/>
  <c r="X210" i="6"/>
  <c r="V210" i="6"/>
  <c r="T210" i="6"/>
  <c r="Z210" i="6"/>
  <c r="AF210" i="6"/>
  <c r="AH210" i="6"/>
  <c r="AJ210" i="6"/>
  <c r="AP210" i="6"/>
  <c r="R210" i="6"/>
  <c r="J210" i="6"/>
  <c r="H210" i="6"/>
  <c r="AB210" i="6"/>
  <c r="L210" i="6"/>
  <c r="F210" i="6"/>
  <c r="AT208" i="6"/>
  <c r="N208" i="6"/>
  <c r="X208" i="6"/>
  <c r="V208" i="6"/>
  <c r="T208" i="6"/>
  <c r="Z208" i="6"/>
  <c r="AF208" i="6"/>
  <c r="AH208" i="6"/>
  <c r="AJ208" i="6"/>
  <c r="AP208" i="6"/>
  <c r="R208" i="6"/>
  <c r="J208" i="6"/>
  <c r="H208" i="6"/>
  <c r="F208" i="6"/>
  <c r="AB208" i="6"/>
  <c r="L208" i="6"/>
  <c r="AT206" i="6"/>
  <c r="N206" i="6"/>
  <c r="X206" i="6"/>
  <c r="V206" i="6"/>
  <c r="T206" i="6"/>
  <c r="Z206" i="6"/>
  <c r="AF206" i="6"/>
  <c r="AH206" i="6"/>
  <c r="AJ206" i="6"/>
  <c r="AP206" i="6"/>
  <c r="R206" i="6"/>
  <c r="J206" i="6"/>
  <c r="H206" i="6"/>
  <c r="AB206" i="6"/>
  <c r="L206" i="6"/>
  <c r="F206" i="6"/>
  <c r="F204" i="6"/>
  <c r="L204" i="6"/>
  <c r="N211" i="6"/>
  <c r="X211" i="6"/>
  <c r="V211" i="6"/>
  <c r="T211" i="6"/>
  <c r="Z211" i="6"/>
  <c r="AF211" i="6"/>
  <c r="AH211" i="6"/>
  <c r="AJ211" i="6"/>
  <c r="AP211" i="6"/>
  <c r="AR211" i="6"/>
  <c r="AT211" i="6"/>
  <c r="AB211" i="6"/>
  <c r="L211" i="6"/>
  <c r="R211" i="6"/>
  <c r="J211" i="6"/>
  <c r="H211" i="6"/>
  <c r="F211" i="6"/>
  <c r="N209" i="6"/>
  <c r="X209" i="6"/>
  <c r="V209" i="6"/>
  <c r="T209" i="6"/>
  <c r="Z209" i="6"/>
  <c r="AF209" i="6"/>
  <c r="AH209" i="6"/>
  <c r="AJ209" i="6"/>
  <c r="AP209" i="6"/>
  <c r="AT209" i="6"/>
  <c r="AB209" i="6"/>
  <c r="L209" i="6"/>
  <c r="R209" i="6"/>
  <c r="J209" i="6"/>
  <c r="H209" i="6"/>
  <c r="F209" i="6"/>
  <c r="N207" i="6"/>
  <c r="X207" i="6"/>
  <c r="V207" i="6"/>
  <c r="T207" i="6"/>
  <c r="Z207" i="6"/>
  <c r="AF207" i="6"/>
  <c r="AH207" i="6"/>
  <c r="AJ207" i="6"/>
  <c r="AP207" i="6"/>
  <c r="AT207" i="6"/>
  <c r="AB207" i="6"/>
  <c r="L207" i="6"/>
  <c r="R207" i="6"/>
  <c r="J207" i="6"/>
  <c r="H207" i="6"/>
  <c r="F207" i="6"/>
  <c r="L205" i="6"/>
  <c r="F205" i="6"/>
  <c r="L203" i="6"/>
  <c r="F203" i="6"/>
  <c r="Z33" i="6"/>
  <c r="V33" i="6"/>
  <c r="T33" i="6"/>
  <c r="R33" i="6"/>
  <c r="X33" i="6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4" i="1"/>
  <c r="G57" i="3" l="1"/>
  <c r="H57" i="3" s="1"/>
  <c r="H14" i="2"/>
  <c r="G8" i="3"/>
  <c r="H8" i="3" s="1"/>
  <c r="H29" i="2"/>
  <c r="G15" i="3"/>
  <c r="H15" i="3" s="1"/>
  <c r="H15" i="2"/>
  <c r="G9" i="3"/>
  <c r="H9" i="3" s="1"/>
  <c r="P220" i="6"/>
  <c r="G22" i="3" s="1"/>
  <c r="H22" i="3" s="1"/>
  <c r="AX220" i="6"/>
  <c r="G55" i="3" s="1"/>
  <c r="H55" i="3" s="1"/>
  <c r="BH220" i="6"/>
  <c r="G50" i="3" s="1"/>
  <c r="H50" i="3" s="1"/>
  <c r="BF220" i="6"/>
  <c r="G51" i="3" s="1"/>
  <c r="H51" i="3" s="1"/>
  <c r="BD220" i="6"/>
  <c r="G52" i="3" s="1"/>
  <c r="H52" i="3" s="1"/>
  <c r="BB220" i="6"/>
  <c r="G53" i="3" s="1"/>
  <c r="H53" i="3" s="1"/>
  <c r="AZ220" i="6"/>
  <c r="G54" i="3" s="1"/>
  <c r="H54" i="3" s="1"/>
  <c r="AN220" i="6"/>
  <c r="G43" i="3" s="1"/>
  <c r="H43" i="3" s="1"/>
  <c r="AL220" i="6"/>
  <c r="G42" i="3" s="1"/>
  <c r="H42" i="3" s="1"/>
  <c r="AV220" i="6"/>
  <c r="H35" i="2"/>
  <c r="H39" i="2"/>
  <c r="H40" i="2"/>
  <c r="H37" i="2"/>
  <c r="H140" i="2"/>
  <c r="G58" i="3"/>
  <c r="H58" i="3" s="1"/>
  <c r="H36" i="2"/>
  <c r="H38" i="2"/>
  <c r="H47" i="2"/>
  <c r="G4" i="3"/>
  <c r="H4" i="3" s="1"/>
  <c r="H48" i="2"/>
  <c r="G5" i="3"/>
  <c r="H5" i="3" s="1"/>
  <c r="G209" i="2"/>
  <c r="H209" i="2" s="1"/>
  <c r="G203" i="2"/>
  <c r="J129" i="6"/>
  <c r="V23" i="6"/>
  <c r="J24" i="6"/>
  <c r="R25" i="6"/>
  <c r="AF27" i="6"/>
  <c r="N44" i="6"/>
  <c r="Z54" i="6"/>
  <c r="B32" i="1"/>
  <c r="E23" i="1"/>
  <c r="G294" i="2" s="1"/>
  <c r="E56" i="4" s="1"/>
  <c r="F9" i="6"/>
  <c r="Z11" i="6"/>
  <c r="H12" i="6"/>
  <c r="Z13" i="6"/>
  <c r="H14" i="6"/>
  <c r="L19" i="6"/>
  <c r="L21" i="6"/>
  <c r="V22" i="6"/>
  <c r="AR25" i="6"/>
  <c r="L26" i="6"/>
  <c r="L27" i="6"/>
  <c r="Z28" i="6"/>
  <c r="H30" i="6"/>
  <c r="AT31" i="6"/>
  <c r="J35" i="6"/>
  <c r="J38" i="6"/>
  <c r="N40" i="6"/>
  <c r="J41" i="6"/>
  <c r="T45" i="6"/>
  <c r="R53" i="6"/>
  <c r="AP53" i="6"/>
  <c r="AB56" i="6"/>
  <c r="F58" i="6"/>
  <c r="L59" i="6"/>
  <c r="F65" i="6"/>
  <c r="AR65" i="6"/>
  <c r="R67" i="6"/>
  <c r="AH67" i="6"/>
  <c r="AB68" i="6"/>
  <c r="V69" i="6"/>
  <c r="Z71" i="6"/>
  <c r="AT72" i="6"/>
  <c r="J73" i="6"/>
  <c r="T74" i="6"/>
  <c r="X75" i="6"/>
  <c r="AB76" i="6"/>
  <c r="V78" i="6"/>
  <c r="AJ78" i="6"/>
  <c r="AT78" i="6"/>
  <c r="T79" i="6"/>
  <c r="AF81" i="6"/>
  <c r="AB84" i="6"/>
  <c r="AJ84" i="6"/>
  <c r="AT84" i="6"/>
  <c r="X85" i="6"/>
  <c r="AH85" i="6"/>
  <c r="F86" i="6"/>
  <c r="AT86" i="6"/>
  <c r="N90" i="6"/>
  <c r="AP92" i="6"/>
  <c r="AR93" i="6"/>
  <c r="F94" i="6"/>
  <c r="AR94" i="6"/>
  <c r="H96" i="6"/>
  <c r="AJ96" i="6"/>
  <c r="AR100" i="6"/>
  <c r="N104" i="6"/>
  <c r="AH106" i="6"/>
  <c r="AH109" i="6"/>
  <c r="AR111" i="6"/>
  <c r="V117" i="6"/>
  <c r="AH120" i="6"/>
  <c r="AH125" i="6"/>
  <c r="J127" i="6"/>
  <c r="V131" i="6"/>
  <c r="X141" i="6"/>
  <c r="V142" i="6"/>
  <c r="AR142" i="6"/>
  <c r="L144" i="6"/>
  <c r="V148" i="6"/>
  <c r="Z149" i="6"/>
  <c r="Z154" i="6"/>
  <c r="N155" i="6"/>
  <c r="V157" i="6"/>
  <c r="J158" i="6"/>
  <c r="V159" i="6"/>
  <c r="Z165" i="6"/>
  <c r="V169" i="6"/>
  <c r="Z170" i="6"/>
  <c r="L171" i="6"/>
  <c r="Z174" i="6"/>
  <c r="AP175" i="6"/>
  <c r="L177" i="6"/>
  <c r="AF177" i="6"/>
  <c r="L179" i="6"/>
  <c r="N180" i="6"/>
  <c r="AR180" i="6"/>
  <c r="Z181" i="6"/>
  <c r="J182" i="6"/>
  <c r="L186" i="6"/>
  <c r="H187" i="6"/>
  <c r="N190" i="6"/>
  <c r="H191" i="6"/>
  <c r="F197" i="6"/>
  <c r="G197" i="6" s="1"/>
  <c r="H197" i="6" s="1"/>
  <c r="I197" i="6" s="1"/>
  <c r="J197" i="6" s="1"/>
  <c r="L197" i="6" s="1"/>
  <c r="M197" i="6" s="1"/>
  <c r="N197" i="6" s="1"/>
  <c r="Q197" i="6" s="1"/>
  <c r="R197" i="6" s="1"/>
  <c r="S197" i="6" s="1"/>
  <c r="T197" i="6" s="1"/>
  <c r="U197" i="6" s="1"/>
  <c r="V197" i="6" s="1"/>
  <c r="AJ203" i="6"/>
  <c r="AR206" i="6"/>
  <c r="AR207" i="6"/>
  <c r="AR208" i="6"/>
  <c r="AR209" i="6"/>
  <c r="AR210" i="6"/>
  <c r="F219" i="6"/>
  <c r="H219" i="6"/>
  <c r="J219" i="6"/>
  <c r="L219" i="6"/>
  <c r="N219" i="6"/>
  <c r="T219" i="6"/>
  <c r="V219" i="6"/>
  <c r="X219" i="6"/>
  <c r="Z219" i="6"/>
  <c r="AB219" i="6"/>
  <c r="AF219" i="6"/>
  <c r="AH219" i="6"/>
  <c r="AJ219" i="6"/>
  <c r="AP219" i="6"/>
  <c r="AT219" i="6"/>
  <c r="G158" i="2"/>
  <c r="H158" i="2" s="1"/>
  <c r="G159" i="2"/>
  <c r="H159" i="2" s="1"/>
  <c r="G160" i="2"/>
  <c r="H160" i="2" s="1"/>
  <c r="G162" i="2"/>
  <c r="H162" i="2" s="1"/>
  <c r="G166" i="2"/>
  <c r="H166" i="2" s="1"/>
  <c r="G167" i="2"/>
  <c r="H167" i="2" s="1"/>
  <c r="G169" i="2"/>
  <c r="H169" i="2" s="1"/>
  <c r="G170" i="2"/>
  <c r="H170" i="2" s="1"/>
  <c r="G173" i="2"/>
  <c r="H173" i="2" s="1"/>
  <c r="G174" i="2"/>
  <c r="H174" i="2" s="1"/>
  <c r="G177" i="2"/>
  <c r="H177" i="2" s="1"/>
  <c r="G179" i="2"/>
  <c r="H179" i="2" s="1"/>
  <c r="G181" i="2"/>
  <c r="H181" i="2" s="1"/>
  <c r="G184" i="2"/>
  <c r="H184" i="2" s="1"/>
  <c r="G186" i="2"/>
  <c r="H186" i="2" s="1"/>
  <c r="G187" i="2"/>
  <c r="H187" i="2" s="1"/>
  <c r="G188" i="2"/>
  <c r="H188" i="2" s="1"/>
  <c r="G194" i="2"/>
  <c r="H194" i="2" s="1"/>
  <c r="H200" i="2"/>
  <c r="G202" i="2"/>
  <c r="G206" i="2"/>
  <c r="H206" i="2" s="1"/>
  <c r="G207" i="2"/>
  <c r="H207" i="2" s="1"/>
  <c r="G231" i="2"/>
  <c r="H231" i="2" s="1"/>
  <c r="G232" i="2"/>
  <c r="H232" i="2" s="1"/>
  <c r="G233" i="2"/>
  <c r="H233" i="2" s="1"/>
  <c r="G234" i="2"/>
  <c r="H234" i="2" s="1"/>
  <c r="G235" i="2"/>
  <c r="H235" i="2" s="1"/>
  <c r="G236" i="2"/>
  <c r="H236" i="2" s="1"/>
  <c r="G237" i="2"/>
  <c r="H237" i="2" s="1"/>
  <c r="G239" i="2"/>
  <c r="H239" i="2" s="1"/>
  <c r="G240" i="2"/>
  <c r="H240" i="2" s="1"/>
  <c r="G241" i="2"/>
  <c r="H241" i="2" s="1"/>
  <c r="G244" i="2"/>
  <c r="H244" i="2" s="1"/>
  <c r="G245" i="2"/>
  <c r="H245" i="2" s="1"/>
  <c r="G246" i="2"/>
  <c r="H246" i="2" s="1"/>
  <c r="G247" i="2"/>
  <c r="H247" i="2" s="1"/>
  <c r="G248" i="2"/>
  <c r="H248" i="2" s="1"/>
  <c r="G249" i="2"/>
  <c r="H249" i="2" s="1"/>
  <c r="G250" i="2"/>
  <c r="H250" i="2" s="1"/>
  <c r="G251" i="2"/>
  <c r="H251" i="2" s="1"/>
  <c r="G252" i="2"/>
  <c r="H252" i="2" s="1"/>
  <c r="G253" i="2"/>
  <c r="H253" i="2" s="1"/>
  <c r="G255" i="2"/>
  <c r="H255" i="2" s="1"/>
  <c r="G256" i="2"/>
  <c r="H256" i="2" s="1"/>
  <c r="G257" i="2"/>
  <c r="H257" i="2" s="1"/>
  <c r="G259" i="2"/>
  <c r="H259" i="2" s="1"/>
  <c r="G260" i="2"/>
  <c r="H260" i="2" s="1"/>
  <c r="G261" i="2"/>
  <c r="H261" i="2" s="1"/>
  <c r="G262" i="2"/>
  <c r="H262" i="2" s="1"/>
  <c r="G263" i="2"/>
  <c r="H263" i="2" s="1"/>
  <c r="G264" i="2"/>
  <c r="H264" i="2" s="1"/>
  <c r="G265" i="2"/>
  <c r="G266" i="2"/>
  <c r="G267" i="2"/>
  <c r="H267" i="2" s="1"/>
  <c r="A2" i="2"/>
  <c r="A4" i="2"/>
  <c r="D4" i="2"/>
  <c r="A5" i="2"/>
  <c r="D5" i="2"/>
  <c r="A6" i="2"/>
  <c r="D6" i="2"/>
  <c r="A7" i="2"/>
  <c r="D7" i="2"/>
  <c r="G6" i="3"/>
  <c r="H6" i="3" s="1"/>
  <c r="G13" i="3"/>
  <c r="H13" i="3" s="1"/>
  <c r="G161" i="2"/>
  <c r="H161" i="2" s="1"/>
  <c r="G168" i="2"/>
  <c r="H168" i="2" s="1"/>
  <c r="G171" i="2"/>
  <c r="H171" i="2" s="1"/>
  <c r="G172" i="2"/>
  <c r="H172" i="2" s="1"/>
  <c r="G185" i="2"/>
  <c r="H185" i="2" s="1"/>
  <c r="G197" i="2"/>
  <c r="H197" i="2" s="1"/>
  <c r="G204" i="2"/>
  <c r="H204" i="2" s="1"/>
  <c r="G238" i="2"/>
  <c r="H238" i="2" s="1"/>
  <c r="G242" i="2"/>
  <c r="H242" i="2" s="1"/>
  <c r="G243" i="2"/>
  <c r="H243" i="2" s="1"/>
  <c r="G254" i="2"/>
  <c r="H254" i="2" s="1"/>
  <c r="G258" i="2"/>
  <c r="H258" i="2" s="1"/>
  <c r="E290" i="2"/>
  <c r="F290" i="2"/>
  <c r="H189" i="6"/>
  <c r="AR189" i="6"/>
  <c r="H180" i="6"/>
  <c r="AP180" i="6"/>
  <c r="AB192" i="6"/>
  <c r="AJ178" i="6"/>
  <c r="AF178" i="6"/>
  <c r="V178" i="6"/>
  <c r="AR170" i="6"/>
  <c r="AR168" i="6"/>
  <c r="AR166" i="6"/>
  <c r="T176" i="6"/>
  <c r="X176" i="6"/>
  <c r="H176" i="6"/>
  <c r="R176" i="6"/>
  <c r="X174" i="6"/>
  <c r="X172" i="6"/>
  <c r="AB172" i="6"/>
  <c r="H172" i="6"/>
  <c r="AP172" i="6"/>
  <c r="F172" i="6"/>
  <c r="N172" i="6"/>
  <c r="AJ172" i="6"/>
  <c r="AT172" i="6"/>
  <c r="J170" i="6"/>
  <c r="T170" i="6"/>
  <c r="X170" i="6"/>
  <c r="AB170" i="6"/>
  <c r="AF170" i="6"/>
  <c r="H170" i="6"/>
  <c r="R170" i="6"/>
  <c r="AP170" i="6"/>
  <c r="F170" i="6"/>
  <c r="N170" i="6"/>
  <c r="AJ170" i="6"/>
  <c r="AT170" i="6"/>
  <c r="J168" i="6"/>
  <c r="T168" i="6"/>
  <c r="X168" i="6"/>
  <c r="AB168" i="6"/>
  <c r="AF168" i="6"/>
  <c r="H168" i="6"/>
  <c r="R168" i="6"/>
  <c r="AP168" i="6"/>
  <c r="F168" i="6"/>
  <c r="N168" i="6"/>
  <c r="AJ168" i="6"/>
  <c r="AT168" i="6"/>
  <c r="J166" i="6"/>
  <c r="T166" i="6"/>
  <c r="X166" i="6"/>
  <c r="AB166" i="6"/>
  <c r="AF166" i="6"/>
  <c r="H166" i="6"/>
  <c r="R166" i="6"/>
  <c r="AP166" i="6"/>
  <c r="F166" i="6"/>
  <c r="N166" i="6"/>
  <c r="AJ166" i="6"/>
  <c r="AT166" i="6"/>
  <c r="R186" i="6"/>
  <c r="AP186" i="6"/>
  <c r="H182" i="6"/>
  <c r="R182" i="6"/>
  <c r="AP182" i="6"/>
  <c r="H178" i="6"/>
  <c r="R178" i="6"/>
  <c r="AP178" i="6"/>
  <c r="T192" i="6"/>
  <c r="AH176" i="6"/>
  <c r="F176" i="6"/>
  <c r="L172" i="6"/>
  <c r="L170" i="6"/>
  <c r="L168" i="6"/>
  <c r="L166" i="6"/>
  <c r="H190" i="6"/>
  <c r="R190" i="6"/>
  <c r="AP190" i="6"/>
  <c r="AF205" i="6"/>
  <c r="X205" i="6"/>
  <c r="Y205" i="6" s="1"/>
  <c r="Z205" i="6" s="1"/>
  <c r="AF201" i="6"/>
  <c r="X201" i="6"/>
  <c r="Y201" i="6" s="1"/>
  <c r="Z201" i="6" s="1"/>
  <c r="AJ199" i="6"/>
  <c r="AT197" i="6"/>
  <c r="AJ197" i="6"/>
  <c r="AT195" i="6"/>
  <c r="AJ195" i="6"/>
  <c r="AT193" i="6"/>
  <c r="AJ193" i="6"/>
  <c r="V192" i="6"/>
  <c r="J192" i="6"/>
  <c r="AT186" i="6"/>
  <c r="AH186" i="6"/>
  <c r="Z186" i="6"/>
  <c r="T186" i="6"/>
  <c r="F186" i="6"/>
  <c r="AT182" i="6"/>
  <c r="AH182" i="6"/>
  <c r="Z182" i="6"/>
  <c r="T182" i="6"/>
  <c r="F182" i="6"/>
  <c r="AT178" i="6"/>
  <c r="AH178" i="6"/>
  <c r="Z178" i="6"/>
  <c r="T178" i="6"/>
  <c r="F178" i="6"/>
  <c r="AJ176" i="6"/>
  <c r="Z176" i="6"/>
  <c r="L176" i="6"/>
  <c r="V174" i="6"/>
  <c r="AH172" i="6"/>
  <c r="V172" i="6"/>
  <c r="AH170" i="6"/>
  <c r="V170" i="6"/>
  <c r="AH168" i="6"/>
  <c r="V168" i="6"/>
  <c r="AH166" i="6"/>
  <c r="V166" i="6"/>
  <c r="J143" i="6"/>
  <c r="T143" i="6"/>
  <c r="X143" i="6"/>
  <c r="AB143" i="6"/>
  <c r="AF143" i="6"/>
  <c r="H143" i="6"/>
  <c r="R143" i="6"/>
  <c r="AP143" i="6"/>
  <c r="J135" i="6"/>
  <c r="T135" i="6"/>
  <c r="X135" i="6"/>
  <c r="AB135" i="6"/>
  <c r="AF135" i="6"/>
  <c r="H135" i="6"/>
  <c r="R135" i="6"/>
  <c r="AP135" i="6"/>
  <c r="T126" i="6"/>
  <c r="AF126" i="6"/>
  <c r="H93" i="6"/>
  <c r="R93" i="6"/>
  <c r="AP93" i="6"/>
  <c r="F93" i="6"/>
  <c r="N93" i="6"/>
  <c r="AJ93" i="6"/>
  <c r="AT93" i="6"/>
  <c r="T93" i="6"/>
  <c r="AB93" i="6"/>
  <c r="L93" i="6"/>
  <c r="Z93" i="6"/>
  <c r="AH93" i="6"/>
  <c r="J93" i="6"/>
  <c r="X93" i="6"/>
  <c r="AF93" i="6"/>
  <c r="H147" i="6"/>
  <c r="R147" i="6"/>
  <c r="AP147" i="6"/>
  <c r="J141" i="6"/>
  <c r="R141" i="6"/>
  <c r="J133" i="6"/>
  <c r="T133" i="6"/>
  <c r="X133" i="6"/>
  <c r="AB133" i="6"/>
  <c r="AF133" i="6"/>
  <c r="H133" i="6"/>
  <c r="R133" i="6"/>
  <c r="AP133" i="6"/>
  <c r="J124" i="6"/>
  <c r="T124" i="6"/>
  <c r="X124" i="6"/>
  <c r="AB124" i="6"/>
  <c r="AF124" i="6"/>
  <c r="H124" i="6"/>
  <c r="R124" i="6"/>
  <c r="AP124" i="6"/>
  <c r="AT164" i="6"/>
  <c r="AJ164" i="6"/>
  <c r="N164" i="6"/>
  <c r="F164" i="6"/>
  <c r="AT162" i="6"/>
  <c r="AJ162" i="6"/>
  <c r="N162" i="6"/>
  <c r="F162" i="6"/>
  <c r="AJ160" i="6"/>
  <c r="AT158" i="6"/>
  <c r="AJ158" i="6"/>
  <c r="N158" i="6"/>
  <c r="F158" i="6"/>
  <c r="N156" i="6"/>
  <c r="AT154" i="6"/>
  <c r="F154" i="6"/>
  <c r="AT152" i="6"/>
  <c r="AJ152" i="6"/>
  <c r="N152" i="6"/>
  <c r="F152" i="6"/>
  <c r="AR143" i="6"/>
  <c r="F143" i="6"/>
  <c r="AH135" i="6"/>
  <c r="F135" i="6"/>
  <c r="AH126" i="6"/>
  <c r="V93" i="6"/>
  <c r="J139" i="6"/>
  <c r="T139" i="6"/>
  <c r="X139" i="6"/>
  <c r="AB139" i="6"/>
  <c r="AF139" i="6"/>
  <c r="H139" i="6"/>
  <c r="R139" i="6"/>
  <c r="AP139" i="6"/>
  <c r="J131" i="6"/>
  <c r="T131" i="6"/>
  <c r="X131" i="6"/>
  <c r="AB131" i="6"/>
  <c r="AF131" i="6"/>
  <c r="H131" i="6"/>
  <c r="R131" i="6"/>
  <c r="AP131" i="6"/>
  <c r="H97" i="6"/>
  <c r="R97" i="6"/>
  <c r="AP97" i="6"/>
  <c r="F97" i="6"/>
  <c r="N97" i="6"/>
  <c r="AJ97" i="6"/>
  <c r="AT97" i="6"/>
  <c r="T97" i="6"/>
  <c r="AB97" i="6"/>
  <c r="L97" i="6"/>
  <c r="Z97" i="6"/>
  <c r="AH97" i="6"/>
  <c r="J97" i="6"/>
  <c r="X97" i="6"/>
  <c r="AF97" i="6"/>
  <c r="AP164" i="6"/>
  <c r="R164" i="6"/>
  <c r="H164" i="6"/>
  <c r="AP162" i="6"/>
  <c r="R162" i="6"/>
  <c r="H162" i="6"/>
  <c r="AP160" i="6"/>
  <c r="AP158" i="6"/>
  <c r="R158" i="6"/>
  <c r="H158" i="6"/>
  <c r="AP156" i="6"/>
  <c r="R154" i="6"/>
  <c r="AP152" i="6"/>
  <c r="R152" i="6"/>
  <c r="H152" i="6"/>
  <c r="R150" i="6"/>
  <c r="AB149" i="6"/>
  <c r="AT147" i="6"/>
  <c r="AH147" i="6"/>
  <c r="Z147" i="6"/>
  <c r="T147" i="6"/>
  <c r="F147" i="6"/>
  <c r="AB145" i="6"/>
  <c r="AT143" i="6"/>
  <c r="AH143" i="6"/>
  <c r="Z143" i="6"/>
  <c r="L143" i="6"/>
  <c r="AH141" i="6"/>
  <c r="AR137" i="6"/>
  <c r="AJ135" i="6"/>
  <c r="Z135" i="6"/>
  <c r="L135" i="6"/>
  <c r="AH133" i="6"/>
  <c r="F133" i="6"/>
  <c r="AR128" i="6"/>
  <c r="L126" i="6"/>
  <c r="AH124" i="6"/>
  <c r="F124" i="6"/>
  <c r="H149" i="6"/>
  <c r="R149" i="6"/>
  <c r="AP149" i="6"/>
  <c r="H145" i="6"/>
  <c r="R145" i="6"/>
  <c r="AP145" i="6"/>
  <c r="J137" i="6"/>
  <c r="T137" i="6"/>
  <c r="X137" i="6"/>
  <c r="AB137" i="6"/>
  <c r="AF137" i="6"/>
  <c r="H137" i="6"/>
  <c r="R137" i="6"/>
  <c r="AP137" i="6"/>
  <c r="J128" i="6"/>
  <c r="T128" i="6"/>
  <c r="X128" i="6"/>
  <c r="AB128" i="6"/>
  <c r="AF128" i="6"/>
  <c r="H128" i="6"/>
  <c r="R128" i="6"/>
  <c r="AP128" i="6"/>
  <c r="AF164" i="6"/>
  <c r="AB164" i="6"/>
  <c r="X164" i="6"/>
  <c r="T164" i="6"/>
  <c r="AF162" i="6"/>
  <c r="AB162" i="6"/>
  <c r="X162" i="6"/>
  <c r="T162" i="6"/>
  <c r="AF160" i="6"/>
  <c r="T160" i="6"/>
  <c r="AF158" i="6"/>
  <c r="AB158" i="6"/>
  <c r="X158" i="6"/>
  <c r="T158" i="6"/>
  <c r="AF156" i="6"/>
  <c r="T156" i="6"/>
  <c r="AB154" i="6"/>
  <c r="AF152" i="6"/>
  <c r="AB152" i="6"/>
  <c r="X152" i="6"/>
  <c r="T152" i="6"/>
  <c r="AB150" i="6"/>
  <c r="AJ147" i="6"/>
  <c r="AF147" i="6"/>
  <c r="V147" i="6"/>
  <c r="J147" i="6"/>
  <c r="AJ143" i="6"/>
  <c r="N143" i="6"/>
  <c r="AJ141" i="6"/>
  <c r="AR135" i="6"/>
  <c r="N135" i="6"/>
  <c r="AJ133" i="6"/>
  <c r="Z133" i="6"/>
  <c r="L133" i="6"/>
  <c r="AJ124" i="6"/>
  <c r="Z124" i="6"/>
  <c r="L124" i="6"/>
  <c r="H91" i="6"/>
  <c r="R91" i="6"/>
  <c r="AP91" i="6"/>
  <c r="F91" i="6"/>
  <c r="N91" i="6"/>
  <c r="AJ91" i="6"/>
  <c r="AT91" i="6"/>
  <c r="R122" i="6"/>
  <c r="AP120" i="6"/>
  <c r="R120" i="6"/>
  <c r="H120" i="6"/>
  <c r="R118" i="6"/>
  <c r="AP116" i="6"/>
  <c r="R116" i="6"/>
  <c r="H116" i="6"/>
  <c r="AP114" i="6"/>
  <c r="R114" i="6"/>
  <c r="H114" i="6"/>
  <c r="AP112" i="6"/>
  <c r="R112" i="6"/>
  <c r="H112" i="6"/>
  <c r="AP110" i="6"/>
  <c r="R110" i="6"/>
  <c r="H110" i="6"/>
  <c r="AP108" i="6"/>
  <c r="R108" i="6"/>
  <c r="H108" i="6"/>
  <c r="AP106" i="6"/>
  <c r="R106" i="6"/>
  <c r="H106" i="6"/>
  <c r="AP104" i="6"/>
  <c r="R104" i="6"/>
  <c r="H104" i="6"/>
  <c r="AP102" i="6"/>
  <c r="R102" i="6"/>
  <c r="H102" i="6"/>
  <c r="AP100" i="6"/>
  <c r="R100" i="6"/>
  <c r="H100" i="6"/>
  <c r="AR99" i="6"/>
  <c r="AH99" i="6"/>
  <c r="Z99" i="6"/>
  <c r="V99" i="6"/>
  <c r="L99" i="6"/>
  <c r="AB95" i="6"/>
  <c r="AB89" i="6"/>
  <c r="AH87" i="6"/>
  <c r="Z87" i="6"/>
  <c r="L87" i="6"/>
  <c r="H95" i="6"/>
  <c r="R95" i="6"/>
  <c r="AP95" i="6"/>
  <c r="F95" i="6"/>
  <c r="N95" i="6"/>
  <c r="AJ95" i="6"/>
  <c r="AT95" i="6"/>
  <c r="H89" i="6"/>
  <c r="R89" i="6"/>
  <c r="AP89" i="6"/>
  <c r="F89" i="6"/>
  <c r="N89" i="6"/>
  <c r="AJ89" i="6"/>
  <c r="AT89" i="6"/>
  <c r="H85" i="6"/>
  <c r="R85" i="6"/>
  <c r="AP85" i="6"/>
  <c r="F85" i="6"/>
  <c r="N85" i="6"/>
  <c r="AJ85" i="6"/>
  <c r="AT85" i="6"/>
  <c r="X122" i="6"/>
  <c r="AF120" i="6"/>
  <c r="AB120" i="6"/>
  <c r="X120" i="6"/>
  <c r="T120" i="6"/>
  <c r="X118" i="6"/>
  <c r="AF116" i="6"/>
  <c r="AB116" i="6"/>
  <c r="X116" i="6"/>
  <c r="T116" i="6"/>
  <c r="AF114" i="6"/>
  <c r="AB114" i="6"/>
  <c r="X114" i="6"/>
  <c r="T114" i="6"/>
  <c r="AF112" i="6"/>
  <c r="AB112" i="6"/>
  <c r="X112" i="6"/>
  <c r="T112" i="6"/>
  <c r="AF110" i="6"/>
  <c r="AB110" i="6"/>
  <c r="X110" i="6"/>
  <c r="T110" i="6"/>
  <c r="AF108" i="6"/>
  <c r="AB108" i="6"/>
  <c r="X108" i="6"/>
  <c r="T108" i="6"/>
  <c r="AF106" i="6"/>
  <c r="AB106" i="6"/>
  <c r="X106" i="6"/>
  <c r="T106" i="6"/>
  <c r="AF104" i="6"/>
  <c r="AB104" i="6"/>
  <c r="X104" i="6"/>
  <c r="T104" i="6"/>
  <c r="AF102" i="6"/>
  <c r="AB102" i="6"/>
  <c r="X102" i="6"/>
  <c r="T102" i="6"/>
  <c r="AF100" i="6"/>
  <c r="AB100" i="6"/>
  <c r="X100" i="6"/>
  <c r="T100" i="6"/>
  <c r="AB87" i="6"/>
  <c r="H87" i="6"/>
  <c r="R87" i="6"/>
  <c r="AP87" i="6"/>
  <c r="F87" i="6"/>
  <c r="N87" i="6"/>
  <c r="AJ87" i="6"/>
  <c r="AT87" i="6"/>
  <c r="T44" i="6"/>
  <c r="AB44" i="6"/>
  <c r="AF44" i="6"/>
  <c r="H40" i="6"/>
  <c r="F41" i="6"/>
  <c r="N41" i="6"/>
  <c r="AJ41" i="6"/>
  <c r="AT41" i="6"/>
  <c r="F38" i="6"/>
  <c r="N38" i="6"/>
  <c r="AJ38" i="6"/>
  <c r="AT38" i="6"/>
  <c r="R74" i="6"/>
  <c r="AP72" i="6"/>
  <c r="R72" i="6"/>
  <c r="AP68" i="6"/>
  <c r="R68" i="6"/>
  <c r="H66" i="6"/>
  <c r="AP58" i="6"/>
  <c r="R58" i="6"/>
  <c r="AP54" i="6"/>
  <c r="R54" i="6"/>
  <c r="AP45" i="6"/>
  <c r="AF45" i="6"/>
  <c r="V45" i="6"/>
  <c r="J45" i="6"/>
  <c r="AJ44" i="6"/>
  <c r="Z44" i="6"/>
  <c r="R44" i="6"/>
  <c r="F44" i="6"/>
  <c r="AR40" i="6"/>
  <c r="J46" i="6"/>
  <c r="T46" i="6"/>
  <c r="X46" i="6"/>
  <c r="AB46" i="6"/>
  <c r="AF46" i="6"/>
  <c r="J40" i="6"/>
  <c r="T40" i="6"/>
  <c r="X40" i="6"/>
  <c r="AB40" i="6"/>
  <c r="AF40" i="6"/>
  <c r="AF98" i="6"/>
  <c r="AB98" i="6"/>
  <c r="X98" i="6"/>
  <c r="T98" i="6"/>
  <c r="AB96" i="6"/>
  <c r="X96" i="6"/>
  <c r="T96" i="6"/>
  <c r="T86" i="6"/>
  <c r="T84" i="6"/>
  <c r="AT83" i="6"/>
  <c r="AJ83" i="6"/>
  <c r="N83" i="6"/>
  <c r="F83" i="6"/>
  <c r="AT81" i="6"/>
  <c r="AJ81" i="6"/>
  <c r="N81" i="6"/>
  <c r="F81" i="6"/>
  <c r="AT79" i="6"/>
  <c r="AJ79" i="6"/>
  <c r="N79" i="6"/>
  <c r="F79" i="6"/>
  <c r="AT77" i="6"/>
  <c r="AJ77" i="6"/>
  <c r="N77" i="6"/>
  <c r="F77" i="6"/>
  <c r="AT75" i="6"/>
  <c r="AJ75" i="6"/>
  <c r="N75" i="6"/>
  <c r="F75" i="6"/>
  <c r="T54" i="6"/>
  <c r="F45" i="6"/>
  <c r="N45" i="6"/>
  <c r="AJ45" i="6"/>
  <c r="AT45" i="6"/>
  <c r="AP83" i="6"/>
  <c r="R83" i="6"/>
  <c r="AP81" i="6"/>
  <c r="R81" i="6"/>
  <c r="AP79" i="6"/>
  <c r="R79" i="6"/>
  <c r="AP77" i="6"/>
  <c r="R77" i="6"/>
  <c r="AP75" i="6"/>
  <c r="R75" i="6"/>
  <c r="F46" i="6"/>
  <c r="AJ36" i="6"/>
  <c r="Z36" i="6"/>
  <c r="R36" i="6"/>
  <c r="F36" i="6"/>
  <c r="V36" i="6"/>
  <c r="J36" i="6"/>
  <c r="T36" i="6"/>
  <c r="X36" i="6"/>
  <c r="AB36" i="6"/>
  <c r="AF36" i="6"/>
  <c r="AR35" i="6"/>
  <c r="AH35" i="6"/>
  <c r="Z35" i="6"/>
  <c r="T35" i="6"/>
  <c r="F35" i="6"/>
  <c r="AH31" i="6"/>
  <c r="F31" i="6"/>
  <c r="AT35" i="6"/>
  <c r="AJ35" i="6"/>
  <c r="AF35" i="6"/>
  <c r="V35" i="6"/>
  <c r="AJ31" i="6"/>
  <c r="Z31" i="6"/>
  <c r="L31" i="6"/>
  <c r="H35" i="6"/>
  <c r="R35" i="6"/>
  <c r="J31" i="6"/>
  <c r="T31" i="6"/>
  <c r="X31" i="6"/>
  <c r="AB31" i="6"/>
  <c r="AF31" i="6"/>
  <c r="H31" i="6"/>
  <c r="R31" i="6"/>
  <c r="AP31" i="6"/>
  <c r="AP29" i="6"/>
  <c r="R29" i="6"/>
  <c r="H29" i="6"/>
  <c r="AP26" i="6"/>
  <c r="R26" i="6"/>
  <c r="H26" i="6"/>
  <c r="AB21" i="6"/>
  <c r="AP20" i="6"/>
  <c r="V20" i="6"/>
  <c r="AR15" i="6"/>
  <c r="F21" i="6"/>
  <c r="N21" i="6"/>
  <c r="AJ21" i="6"/>
  <c r="AT21" i="6"/>
  <c r="F15" i="6"/>
  <c r="N15" i="6"/>
  <c r="AJ15" i="6"/>
  <c r="AT15" i="6"/>
  <c r="J15" i="6"/>
  <c r="T15" i="6"/>
  <c r="X15" i="6"/>
  <c r="AB15" i="6"/>
  <c r="AF15" i="6"/>
  <c r="H15" i="6"/>
  <c r="R15" i="6"/>
  <c r="AP15" i="6"/>
  <c r="AF29" i="6"/>
  <c r="AB29" i="6"/>
  <c r="X29" i="6"/>
  <c r="T29" i="6"/>
  <c r="J29" i="6"/>
  <c r="AF26" i="6"/>
  <c r="AB26" i="6"/>
  <c r="X26" i="6"/>
  <c r="T26" i="6"/>
  <c r="J26" i="6"/>
  <c r="X20" i="6"/>
  <c r="AB20" i="6"/>
  <c r="N29" i="6"/>
  <c r="N26" i="6"/>
  <c r="F20" i="6"/>
  <c r="AP13" i="6"/>
  <c r="R13" i="6"/>
  <c r="H13" i="6"/>
  <c r="AP11" i="6"/>
  <c r="R11" i="6"/>
  <c r="H11" i="6"/>
  <c r="AP9" i="6"/>
  <c r="R9" i="6"/>
  <c r="H9" i="6"/>
  <c r="AJ19" i="6"/>
  <c r="N19" i="6"/>
  <c r="F19" i="6"/>
  <c r="N16" i="6"/>
  <c r="F16" i="6"/>
  <c r="N14" i="6"/>
  <c r="F14" i="6"/>
  <c r="AF13" i="6"/>
  <c r="AB13" i="6"/>
  <c r="X13" i="6"/>
  <c r="T13" i="6"/>
  <c r="J13" i="6"/>
  <c r="N12" i="6"/>
  <c r="F12" i="6"/>
  <c r="AF11" i="6"/>
  <c r="AB11" i="6"/>
  <c r="X11" i="6"/>
  <c r="T11" i="6"/>
  <c r="J11" i="6"/>
  <c r="AF9" i="6"/>
  <c r="AB9" i="6"/>
  <c r="X9" i="6"/>
  <c r="T9" i="6"/>
  <c r="J9" i="6"/>
  <c r="AF19" i="6"/>
  <c r="AB19" i="6"/>
  <c r="X19" i="6"/>
  <c r="T19" i="6"/>
  <c r="AF16" i="6"/>
  <c r="AB16" i="6"/>
  <c r="X16" i="6"/>
  <c r="T16" i="6"/>
  <c r="AF14" i="6"/>
  <c r="AB14" i="6"/>
  <c r="X14" i="6"/>
  <c r="T14" i="6"/>
  <c r="AT13" i="6"/>
  <c r="AJ13" i="6"/>
  <c r="N13" i="6"/>
  <c r="AF12" i="6"/>
  <c r="AB12" i="6"/>
  <c r="X12" i="6"/>
  <c r="T12" i="6"/>
  <c r="AT11" i="6"/>
  <c r="AJ11" i="6"/>
  <c r="N11" i="6"/>
  <c r="AF10" i="6"/>
  <c r="AB10" i="6"/>
  <c r="X10" i="6"/>
  <c r="T10" i="6"/>
  <c r="AT9" i="6"/>
  <c r="AJ9" i="6"/>
  <c r="N9" i="6"/>
  <c r="X192" i="6"/>
  <c r="V176" i="6"/>
  <c r="H165" i="6"/>
  <c r="L162" i="6"/>
  <c r="L158" i="6"/>
  <c r="H157" i="6"/>
  <c r="T146" i="6"/>
  <c r="N146" i="6"/>
  <c r="J146" i="6"/>
  <c r="T145" i="6"/>
  <c r="J145" i="6"/>
  <c r="L128" i="6"/>
  <c r="R99" i="6"/>
  <c r="J99" i="6"/>
  <c r="T91" i="6"/>
  <c r="J89" i="6"/>
  <c r="H88" i="6"/>
  <c r="F84" i="6"/>
  <c r="X83" i="6"/>
  <c r="J83" i="6"/>
  <c r="R82" i="6"/>
  <c r="H82" i="6"/>
  <c r="V66" i="6"/>
  <c r="F66" i="6"/>
  <c r="R65" i="6"/>
  <c r="H65" i="6"/>
  <c r="F54" i="6"/>
  <c r="H45" i="6"/>
  <c r="R28" i="6"/>
  <c r="H28" i="6"/>
  <c r="H27" i="6"/>
  <c r="H16" i="6"/>
  <c r="L13" i="6"/>
  <c r="AR11" i="6"/>
  <c r="L11" i="6"/>
  <c r="AH9" i="6"/>
  <c r="V9" i="6"/>
  <c r="AP205" i="6"/>
  <c r="AP203" i="6"/>
  <c r="AP201" i="6"/>
  <c r="AT200" i="6"/>
  <c r="AJ200" i="6"/>
  <c r="AR198" i="6"/>
  <c r="AH198" i="6"/>
  <c r="AR196" i="6"/>
  <c r="AH196" i="6"/>
  <c r="J190" i="6"/>
  <c r="H171" i="6"/>
  <c r="V156" i="6"/>
  <c r="N139" i="6"/>
  <c r="Z137" i="6"/>
  <c r="F137" i="6"/>
  <c r="H111" i="6"/>
  <c r="F108" i="6"/>
  <c r="F106" i="6"/>
  <c r="F104" i="6"/>
  <c r="X79" i="6"/>
  <c r="J79" i="6"/>
  <c r="H78" i="6"/>
  <c r="X77" i="6"/>
  <c r="J77" i="6"/>
  <c r="R76" i="6"/>
  <c r="H76" i="6"/>
  <c r="AF75" i="6"/>
  <c r="AB75" i="6"/>
  <c r="N70" i="6"/>
  <c r="J70" i="6"/>
  <c r="N69" i="6"/>
  <c r="J69" i="6"/>
  <c r="F68" i="6"/>
  <c r="L35" i="6"/>
  <c r="H33" i="6"/>
  <c r="R23" i="6"/>
  <c r="H23" i="6"/>
  <c r="J154" i="6"/>
  <c r="F153" i="6"/>
  <c r="J153" i="6"/>
  <c r="N153" i="6"/>
  <c r="T153" i="6"/>
  <c r="X153" i="6"/>
  <c r="AB153" i="6"/>
  <c r="AF153" i="6"/>
  <c r="AJ153" i="6"/>
  <c r="AT153" i="6"/>
  <c r="AH150" i="6"/>
  <c r="L149" i="6"/>
  <c r="J149" i="6"/>
  <c r="T149" i="6"/>
  <c r="X149" i="6"/>
  <c r="AF149" i="6"/>
  <c r="AH149" i="6"/>
  <c r="AR149" i="6"/>
  <c r="F148" i="6"/>
  <c r="AR200" i="6"/>
  <c r="AP200" i="6"/>
  <c r="AH200" i="6"/>
  <c r="F200" i="6"/>
  <c r="G200" i="6" s="1"/>
  <c r="H200" i="6" s="1"/>
  <c r="I200" i="6" s="1"/>
  <c r="J200" i="6" s="1"/>
  <c r="L200" i="6" s="1"/>
  <c r="M200" i="6" s="1"/>
  <c r="N200" i="6" s="1"/>
  <c r="Q200" i="6" s="1"/>
  <c r="R200" i="6" s="1"/>
  <c r="S200" i="6" s="1"/>
  <c r="T200" i="6" s="1"/>
  <c r="U200" i="6" s="1"/>
  <c r="V200" i="6" s="1"/>
  <c r="AR199" i="6"/>
  <c r="AH199" i="6"/>
  <c r="AT198" i="6"/>
  <c r="AJ198" i="6"/>
  <c r="AF198" i="6"/>
  <c r="AR197" i="6"/>
  <c r="AH197" i="6"/>
  <c r="AT196" i="6"/>
  <c r="AJ196" i="6"/>
  <c r="AF196" i="6"/>
  <c r="AR195" i="6"/>
  <c r="AH195" i="6"/>
  <c r="AT194" i="6"/>
  <c r="AJ194" i="6"/>
  <c r="AF194" i="6"/>
  <c r="AR193" i="6"/>
  <c r="AH193" i="6"/>
  <c r="AF190" i="6"/>
  <c r="AB190" i="6"/>
  <c r="X190" i="6"/>
  <c r="V190" i="6"/>
  <c r="L190" i="6"/>
  <c r="AT176" i="6"/>
  <c r="AT175" i="6"/>
  <c r="AJ175" i="6"/>
  <c r="AF175" i="6"/>
  <c r="AB175" i="6"/>
  <c r="X175" i="6"/>
  <c r="T175" i="6"/>
  <c r="N175" i="6"/>
  <c r="J175" i="6"/>
  <c r="AT171" i="6"/>
  <c r="AJ171" i="6"/>
  <c r="AF171" i="6"/>
  <c r="AB171" i="6"/>
  <c r="X171" i="6"/>
  <c r="T171" i="6"/>
  <c r="N171" i="6"/>
  <c r="J171" i="6"/>
  <c r="AT165" i="6"/>
  <c r="AJ165" i="6"/>
  <c r="AF165" i="6"/>
  <c r="AB165" i="6"/>
  <c r="X165" i="6"/>
  <c r="T165" i="6"/>
  <c r="N165" i="6"/>
  <c r="J165" i="6"/>
  <c r="AH162" i="6"/>
  <c r="V162" i="6"/>
  <c r="AT161" i="6"/>
  <c r="AJ161" i="6"/>
  <c r="AF161" i="6"/>
  <c r="AB161" i="6"/>
  <c r="X161" i="6"/>
  <c r="T161" i="6"/>
  <c r="N161" i="6"/>
  <c r="J161" i="6"/>
  <c r="AH158" i="6"/>
  <c r="V158" i="6"/>
  <c r="AT157" i="6"/>
  <c r="AJ157" i="6"/>
  <c r="AF157" i="6"/>
  <c r="AB157" i="6"/>
  <c r="X157" i="6"/>
  <c r="T157" i="6"/>
  <c r="N157" i="6"/>
  <c r="J157" i="6"/>
  <c r="AR154" i="6"/>
  <c r="AR153" i="6"/>
  <c r="AH153" i="6"/>
  <c r="R153" i="6"/>
  <c r="H153" i="6"/>
  <c r="AR150" i="6"/>
  <c r="V149" i="6"/>
  <c r="F149" i="6"/>
  <c r="F123" i="6"/>
  <c r="J123" i="6"/>
  <c r="N123" i="6"/>
  <c r="T123" i="6"/>
  <c r="X123" i="6"/>
  <c r="AB123" i="6"/>
  <c r="AF123" i="6"/>
  <c r="L122" i="6"/>
  <c r="AT122" i="6"/>
  <c r="F121" i="6"/>
  <c r="J121" i="6"/>
  <c r="N121" i="6"/>
  <c r="T121" i="6"/>
  <c r="X121" i="6"/>
  <c r="AB121" i="6"/>
  <c r="AF121" i="6"/>
  <c r="AJ121" i="6"/>
  <c r="AT121" i="6"/>
  <c r="J120" i="6"/>
  <c r="L120" i="6"/>
  <c r="V120" i="6"/>
  <c r="Z120" i="6"/>
  <c r="AJ120" i="6"/>
  <c r="AT120" i="6"/>
  <c r="F119" i="6"/>
  <c r="J119" i="6"/>
  <c r="N119" i="6"/>
  <c r="T119" i="6"/>
  <c r="X119" i="6"/>
  <c r="AB119" i="6"/>
  <c r="AF119" i="6"/>
  <c r="AJ119" i="6"/>
  <c r="AT119" i="6"/>
  <c r="L118" i="6"/>
  <c r="AT118" i="6"/>
  <c r="F117" i="6"/>
  <c r="J117" i="6"/>
  <c r="N117" i="6"/>
  <c r="T117" i="6"/>
  <c r="X117" i="6"/>
  <c r="AB117" i="6"/>
  <c r="AF117" i="6"/>
  <c r="AJ117" i="6"/>
  <c r="AT117" i="6"/>
  <c r="J116" i="6"/>
  <c r="L116" i="6"/>
  <c r="V116" i="6"/>
  <c r="Z116" i="6"/>
  <c r="AJ116" i="6"/>
  <c r="AT116" i="6"/>
  <c r="F115" i="6"/>
  <c r="J115" i="6"/>
  <c r="N115" i="6"/>
  <c r="T115" i="6"/>
  <c r="X115" i="6"/>
  <c r="AB115" i="6"/>
  <c r="AF115" i="6"/>
  <c r="AJ115" i="6"/>
  <c r="AT115" i="6"/>
  <c r="J114" i="6"/>
  <c r="L114" i="6"/>
  <c r="V114" i="6"/>
  <c r="Z114" i="6"/>
  <c r="AJ114" i="6"/>
  <c r="AT114" i="6"/>
  <c r="F113" i="6"/>
  <c r="J113" i="6"/>
  <c r="N113" i="6"/>
  <c r="T113" i="6"/>
  <c r="X113" i="6"/>
  <c r="AB113" i="6"/>
  <c r="AF113" i="6"/>
  <c r="AJ113" i="6"/>
  <c r="AT113" i="6"/>
  <c r="J112" i="6"/>
  <c r="L112" i="6"/>
  <c r="V112" i="6"/>
  <c r="Z112" i="6"/>
  <c r="AJ112" i="6"/>
  <c r="AT112" i="6"/>
  <c r="AR141" i="6"/>
  <c r="AT140" i="6"/>
  <c r="AJ140" i="6"/>
  <c r="AF140" i="6"/>
  <c r="AB140" i="6"/>
  <c r="X140" i="6"/>
  <c r="T140" i="6"/>
  <c r="N140" i="6"/>
  <c r="J140" i="6"/>
  <c r="AT137" i="6"/>
  <c r="AH137" i="6"/>
  <c r="L137" i="6"/>
  <c r="AT136" i="6"/>
  <c r="X136" i="6"/>
  <c r="J136" i="6"/>
  <c r="AT134" i="6"/>
  <c r="AJ134" i="6"/>
  <c r="AF134" i="6"/>
  <c r="AB134" i="6"/>
  <c r="X134" i="6"/>
  <c r="T134" i="6"/>
  <c r="N134" i="6"/>
  <c r="J134" i="6"/>
  <c r="AR131" i="6"/>
  <c r="AH131" i="6"/>
  <c r="N131" i="6"/>
  <c r="AT130" i="6"/>
  <c r="AJ130" i="6"/>
  <c r="AF130" i="6"/>
  <c r="AB130" i="6"/>
  <c r="X130" i="6"/>
  <c r="T130" i="6"/>
  <c r="N130" i="6"/>
  <c r="J130" i="6"/>
  <c r="AR124" i="6"/>
  <c r="AT123" i="6"/>
  <c r="AJ123" i="6"/>
  <c r="R123" i="6"/>
  <c r="H123" i="6"/>
  <c r="F122" i="6"/>
  <c r="AR121" i="6"/>
  <c r="AH121" i="6"/>
  <c r="R121" i="6"/>
  <c r="H121" i="6"/>
  <c r="AR120" i="6"/>
  <c r="F120" i="6"/>
  <c r="AR119" i="6"/>
  <c r="AH119" i="6"/>
  <c r="R119" i="6"/>
  <c r="H119" i="6"/>
  <c r="AR118" i="6"/>
  <c r="AR117" i="6"/>
  <c r="AH117" i="6"/>
  <c r="R117" i="6"/>
  <c r="H117" i="6"/>
  <c r="AR116" i="6"/>
  <c r="F116" i="6"/>
  <c r="AR115" i="6"/>
  <c r="AH115" i="6"/>
  <c r="R115" i="6"/>
  <c r="H115" i="6"/>
  <c r="AR114" i="6"/>
  <c r="F114" i="6"/>
  <c r="AR113" i="6"/>
  <c r="AH113" i="6"/>
  <c r="R113" i="6"/>
  <c r="H113" i="6"/>
  <c r="AR112" i="6"/>
  <c r="F112" i="6"/>
  <c r="H75" i="6"/>
  <c r="L75" i="6"/>
  <c r="V75" i="6"/>
  <c r="Z75" i="6"/>
  <c r="AH75" i="6"/>
  <c r="AT111" i="6"/>
  <c r="AJ111" i="6"/>
  <c r="AF111" i="6"/>
  <c r="AB111" i="6"/>
  <c r="X111" i="6"/>
  <c r="T111" i="6"/>
  <c r="N111" i="6"/>
  <c r="J111" i="6"/>
  <c r="AT110" i="6"/>
  <c r="AJ110" i="6"/>
  <c r="Z110" i="6"/>
  <c r="V110" i="6"/>
  <c r="L110" i="6"/>
  <c r="AT109" i="6"/>
  <c r="AJ109" i="6"/>
  <c r="AF109" i="6"/>
  <c r="AB109" i="6"/>
  <c r="X109" i="6"/>
  <c r="T109" i="6"/>
  <c r="N109" i="6"/>
  <c r="J109" i="6"/>
  <c r="AT108" i="6"/>
  <c r="AJ108" i="6"/>
  <c r="Z108" i="6"/>
  <c r="V108" i="6"/>
  <c r="L108" i="6"/>
  <c r="AT107" i="6"/>
  <c r="AJ107" i="6"/>
  <c r="AF107" i="6"/>
  <c r="AB107" i="6"/>
  <c r="X107" i="6"/>
  <c r="T107" i="6"/>
  <c r="N107" i="6"/>
  <c r="J107" i="6"/>
  <c r="AT106" i="6"/>
  <c r="AJ106" i="6"/>
  <c r="Z106" i="6"/>
  <c r="V106" i="6"/>
  <c r="L106" i="6"/>
  <c r="AT105" i="6"/>
  <c r="AJ105" i="6"/>
  <c r="AF105" i="6"/>
  <c r="AB105" i="6"/>
  <c r="X105" i="6"/>
  <c r="T105" i="6"/>
  <c r="N105" i="6"/>
  <c r="J105" i="6"/>
  <c r="AT104" i="6"/>
  <c r="AJ104" i="6"/>
  <c r="Z104" i="6"/>
  <c r="V104" i="6"/>
  <c r="L104" i="6"/>
  <c r="AT103" i="6"/>
  <c r="AJ103" i="6"/>
  <c r="AF103" i="6"/>
  <c r="AB103" i="6"/>
  <c r="X103" i="6"/>
  <c r="T103" i="6"/>
  <c r="N103" i="6"/>
  <c r="J103" i="6"/>
  <c r="AT102" i="6"/>
  <c r="AJ102" i="6"/>
  <c r="Z102" i="6"/>
  <c r="V102" i="6"/>
  <c r="L102" i="6"/>
  <c r="AT101" i="6"/>
  <c r="AJ101" i="6"/>
  <c r="AF101" i="6"/>
  <c r="AB101" i="6"/>
  <c r="X101" i="6"/>
  <c r="T101" i="6"/>
  <c r="N101" i="6"/>
  <c r="J101" i="6"/>
  <c r="AT100" i="6"/>
  <c r="AJ100" i="6"/>
  <c r="Z100" i="6"/>
  <c r="V100" i="6"/>
  <c r="L100" i="6"/>
  <c r="AR95" i="6"/>
  <c r="X95" i="6"/>
  <c r="L95" i="6"/>
  <c r="AT94" i="6"/>
  <c r="AJ94" i="6"/>
  <c r="AF94" i="6"/>
  <c r="AB94" i="6"/>
  <c r="X94" i="6"/>
  <c r="T94" i="6"/>
  <c r="N94" i="6"/>
  <c r="H94" i="6"/>
  <c r="AT92" i="6"/>
  <c r="AJ92" i="6"/>
  <c r="AF92" i="6"/>
  <c r="AB92" i="6"/>
  <c r="X92" i="6"/>
  <c r="T92" i="6"/>
  <c r="N92" i="6"/>
  <c r="J92" i="6"/>
  <c r="AR89" i="6"/>
  <c r="X89" i="6"/>
  <c r="L89" i="6"/>
  <c r="AT88" i="6"/>
  <c r="AJ88" i="6"/>
  <c r="AF88" i="6"/>
  <c r="AB88" i="6"/>
  <c r="X88" i="6"/>
  <c r="T88" i="6"/>
  <c r="N88" i="6"/>
  <c r="J88" i="6"/>
  <c r="AR86" i="6"/>
  <c r="AP86" i="6"/>
  <c r="AH86" i="6"/>
  <c r="Z86" i="6"/>
  <c r="V86" i="6"/>
  <c r="N86" i="6"/>
  <c r="H86" i="6"/>
  <c r="AR84" i="6"/>
  <c r="AP84" i="6"/>
  <c r="AH84" i="6"/>
  <c r="Z84" i="6"/>
  <c r="V84" i="6"/>
  <c r="N84" i="6"/>
  <c r="H84" i="6"/>
  <c r="AR83" i="6"/>
  <c r="AH83" i="6"/>
  <c r="Z83" i="6"/>
  <c r="V83" i="6"/>
  <c r="L83" i="6"/>
  <c r="AT82" i="6"/>
  <c r="AJ82" i="6"/>
  <c r="AF82" i="6"/>
  <c r="AB82" i="6"/>
  <c r="X82" i="6"/>
  <c r="T82" i="6"/>
  <c r="N82" i="6"/>
  <c r="J82" i="6"/>
  <c r="AR81" i="6"/>
  <c r="AH81" i="6"/>
  <c r="Z81" i="6"/>
  <c r="V81" i="6"/>
  <c r="L81" i="6"/>
  <c r="AB80" i="6"/>
  <c r="X80" i="6"/>
  <c r="T80" i="6"/>
  <c r="N80" i="6"/>
  <c r="J80" i="6"/>
  <c r="Z79" i="6"/>
  <c r="V79" i="6"/>
  <c r="L79" i="6"/>
  <c r="X78" i="6"/>
  <c r="T78" i="6"/>
  <c r="N78" i="6"/>
  <c r="J78" i="6"/>
  <c r="Z77" i="6"/>
  <c r="V77" i="6"/>
  <c r="L77" i="6"/>
  <c r="T76" i="6"/>
  <c r="N76" i="6"/>
  <c r="J76" i="6"/>
  <c r="Z72" i="6"/>
  <c r="T72" i="6"/>
  <c r="AR71" i="6"/>
  <c r="AH71" i="6"/>
  <c r="R71" i="6"/>
  <c r="H72" i="6"/>
  <c r="J72" i="6"/>
  <c r="N72" i="6"/>
  <c r="V72" i="6"/>
  <c r="X72" i="6"/>
  <c r="AF72" i="6"/>
  <c r="AJ72" i="6"/>
  <c r="AR72" i="6"/>
  <c r="F71" i="6"/>
  <c r="J71" i="6"/>
  <c r="N71" i="6"/>
  <c r="T71" i="6"/>
  <c r="X71" i="6"/>
  <c r="AB71" i="6"/>
  <c r="AF71" i="6"/>
  <c r="AJ71" i="6"/>
  <c r="AT71" i="6"/>
  <c r="J75" i="6"/>
  <c r="AR68" i="6"/>
  <c r="AJ68" i="6"/>
  <c r="AF68" i="6"/>
  <c r="X68" i="6"/>
  <c r="V68" i="6"/>
  <c r="N68" i="6"/>
  <c r="J68" i="6"/>
  <c r="AT67" i="6"/>
  <c r="AJ67" i="6"/>
  <c r="AF67" i="6"/>
  <c r="AB67" i="6"/>
  <c r="X67" i="6"/>
  <c r="T67" i="6"/>
  <c r="N67" i="6"/>
  <c r="J67" i="6"/>
  <c r="AT66" i="6"/>
  <c r="AH66" i="6"/>
  <c r="AB66" i="6"/>
  <c r="Z66" i="6"/>
  <c r="T66" i="6"/>
  <c r="L66" i="6"/>
  <c r="AT65" i="6"/>
  <c r="AJ65" i="6"/>
  <c r="AF65" i="6"/>
  <c r="AB65" i="6"/>
  <c r="X65" i="6"/>
  <c r="T65" i="6"/>
  <c r="N65" i="6"/>
  <c r="J65" i="6"/>
  <c r="AR54" i="6"/>
  <c r="AJ54" i="6"/>
  <c r="AF54" i="6"/>
  <c r="X54" i="6"/>
  <c r="V54" i="6"/>
  <c r="L54" i="6"/>
  <c r="AT53" i="6"/>
  <c r="AJ53" i="6"/>
  <c r="AF53" i="6"/>
  <c r="AB53" i="6"/>
  <c r="X53" i="6"/>
  <c r="T53" i="6"/>
  <c r="N53" i="6"/>
  <c r="J53" i="6"/>
  <c r="AP46" i="6"/>
  <c r="AH46" i="6"/>
  <c r="Z46" i="6"/>
  <c r="V46" i="6"/>
  <c r="N46" i="6"/>
  <c r="Z45" i="6"/>
  <c r="R45" i="6"/>
  <c r="AH41" i="6"/>
  <c r="AB41" i="6"/>
  <c r="Z41" i="6"/>
  <c r="T41" i="6"/>
  <c r="L41" i="6"/>
  <c r="AB30" i="6"/>
  <c r="X30" i="6"/>
  <c r="T30" i="6"/>
  <c r="N30" i="6"/>
  <c r="J30" i="6"/>
  <c r="Z29" i="6"/>
  <c r="V29" i="6"/>
  <c r="T28" i="6"/>
  <c r="N28" i="6"/>
  <c r="J28" i="6"/>
  <c r="F22" i="6"/>
  <c r="J22" i="6"/>
  <c r="N22" i="6"/>
  <c r="T22" i="6"/>
  <c r="X22" i="6"/>
  <c r="AB22" i="6"/>
  <c r="AF22" i="6"/>
  <c r="AJ22" i="6"/>
  <c r="AT22" i="6"/>
  <c r="AP35" i="6"/>
  <c r="X35" i="6"/>
  <c r="N35" i="6"/>
  <c r="AT33" i="6"/>
  <c r="AJ33" i="6"/>
  <c r="AF33" i="6"/>
  <c r="AB33" i="6"/>
  <c r="N33" i="6"/>
  <c r="J33" i="6"/>
  <c r="N27" i="6"/>
  <c r="J27" i="6"/>
  <c r="X23" i="6"/>
  <c r="T23" i="6"/>
  <c r="N23" i="6"/>
  <c r="J23" i="6"/>
  <c r="AR21" i="6"/>
  <c r="AH21" i="6"/>
  <c r="AF21" i="6"/>
  <c r="X21" i="6"/>
  <c r="T21" i="6"/>
  <c r="J21" i="6"/>
  <c r="AJ20" i="6"/>
  <c r="Z20" i="6"/>
  <c r="R20" i="6"/>
  <c r="AT16" i="6"/>
  <c r="AP16" i="6"/>
  <c r="AH16" i="6"/>
  <c r="Z16" i="6"/>
  <c r="V16" i="6"/>
  <c r="L16" i="6"/>
  <c r="AH13" i="6"/>
  <c r="V13" i="6"/>
  <c r="AH11" i="6"/>
  <c r="V11" i="6"/>
  <c r="AT10" i="6"/>
  <c r="AP10" i="6"/>
  <c r="AH10" i="6"/>
  <c r="V10" i="6"/>
  <c r="N10" i="6"/>
  <c r="H10" i="6"/>
  <c r="R181" i="6"/>
  <c r="H181" i="6"/>
  <c r="AF181" i="6"/>
  <c r="AB181" i="6"/>
  <c r="X181" i="6"/>
  <c r="T181" i="6"/>
  <c r="N181" i="6"/>
  <c r="J181" i="6"/>
  <c r="AT46" i="6"/>
  <c r="R46" i="6"/>
  <c r="L33" i="6"/>
  <c r="AR33" i="6"/>
  <c r="AH33" i="6"/>
  <c r="AR30" i="6"/>
  <c r="AP30" i="6"/>
  <c r="AH30" i="6"/>
  <c r="Z30" i="6"/>
  <c r="V30" i="6"/>
  <c r="L30" i="6"/>
  <c r="AR29" i="6"/>
  <c r="AH29" i="6"/>
  <c r="AF28" i="6"/>
  <c r="AB28" i="6"/>
  <c r="X28" i="6"/>
  <c r="V28" i="6"/>
  <c r="AF25" i="6"/>
  <c r="AB25" i="6"/>
  <c r="X25" i="6"/>
  <c r="T25" i="6"/>
  <c r="N25" i="6"/>
  <c r="J25" i="6"/>
  <c r="AP21" i="6"/>
  <c r="Z21" i="6"/>
  <c r="R21" i="6"/>
  <c r="AH20" i="6"/>
  <c r="AJ16" i="6"/>
  <c r="Z14" i="6"/>
  <c r="V14" i="6"/>
  <c r="L14" i="6"/>
  <c r="Z12" i="6"/>
  <c r="V12" i="6"/>
  <c r="L12" i="6"/>
  <c r="L9" i="6"/>
  <c r="Z10" i="6"/>
  <c r="F10" i="6"/>
  <c r="AJ10" i="6"/>
  <c r="L10" i="6"/>
  <c r="Z9" i="6"/>
  <c r="AF193" i="6"/>
  <c r="N192" i="6"/>
  <c r="L181" i="6"/>
  <c r="H179" i="6"/>
  <c r="R175" i="6"/>
  <c r="H175" i="6"/>
  <c r="H151" i="6"/>
  <c r="X147" i="6"/>
  <c r="V137" i="6"/>
  <c r="H134" i="6"/>
  <c r="H127" i="6"/>
  <c r="V121" i="6"/>
  <c r="V115" i="6"/>
  <c r="V113" i="6"/>
  <c r="L111" i="6"/>
  <c r="H105" i="6"/>
  <c r="F102" i="6"/>
  <c r="N100" i="6"/>
  <c r="H99" i="6"/>
  <c r="F96" i="6"/>
  <c r="J95" i="6"/>
  <c r="H92" i="6"/>
  <c r="AB91" i="6"/>
  <c r="L91" i="6"/>
  <c r="H90" i="6"/>
  <c r="L88" i="6"/>
  <c r="T83" i="6"/>
  <c r="L76" i="6"/>
  <c r="L71" i="6"/>
  <c r="Z67" i="6"/>
  <c r="V67" i="6"/>
  <c r="H67" i="6"/>
  <c r="X63" i="6"/>
  <c r="V63" i="6"/>
  <c r="N63" i="6"/>
  <c r="J63" i="6"/>
  <c r="T59" i="6"/>
  <c r="N59" i="6"/>
  <c r="J59" i="6"/>
  <c r="T58" i="6"/>
  <c r="L58" i="6"/>
  <c r="J56" i="6"/>
  <c r="X45" i="6"/>
  <c r="V44" i="6"/>
  <c r="L44" i="6"/>
  <c r="F40" i="6"/>
  <c r="V26" i="6"/>
  <c r="L22" i="6"/>
  <c r="AJ205" i="6"/>
  <c r="AF200" i="6"/>
  <c r="T189" i="6"/>
  <c r="L189" i="6"/>
  <c r="T187" i="6"/>
  <c r="N187" i="6"/>
  <c r="J187" i="6"/>
  <c r="X186" i="6"/>
  <c r="N186" i="6"/>
  <c r="T185" i="6"/>
  <c r="N185" i="6"/>
  <c r="J185" i="6"/>
  <c r="T184" i="6"/>
  <c r="L184" i="6"/>
  <c r="J183" i="6"/>
  <c r="N182" i="6"/>
  <c r="H177" i="6"/>
  <c r="H173" i="6"/>
  <c r="H169" i="6"/>
  <c r="Z158" i="6"/>
  <c r="L157" i="6"/>
  <c r="H155" i="6"/>
  <c r="H140" i="6"/>
  <c r="V133" i="6"/>
  <c r="H130" i="6"/>
  <c r="V119" i="6"/>
  <c r="R109" i="6"/>
  <c r="H109" i="6"/>
  <c r="H101" i="6"/>
  <c r="F98" i="6"/>
  <c r="V89" i="6"/>
  <c r="V87" i="6"/>
  <c r="T85" i="6"/>
  <c r="J81" i="6"/>
  <c r="H73" i="6"/>
  <c r="H53" i="6"/>
  <c r="N36" i="6"/>
  <c r="L24" i="6"/>
  <c r="H24" i="6"/>
  <c r="H21" i="6"/>
  <c r="L15" i="6"/>
  <c r="F202" i="6"/>
  <c r="G202" i="6" s="1"/>
  <c r="H202" i="6" s="1"/>
  <c r="I202" i="6" s="1"/>
  <c r="J202" i="6" s="1"/>
  <c r="L202" i="6" s="1"/>
  <c r="M202" i="6" s="1"/>
  <c r="N202" i="6" s="1"/>
  <c r="Q202" i="6" s="1"/>
  <c r="R202" i="6" s="1"/>
  <c r="S202" i="6" s="1"/>
  <c r="T202" i="6" s="1"/>
  <c r="U202" i="6" s="1"/>
  <c r="V202" i="6" s="1"/>
  <c r="AJ202" i="6"/>
  <c r="AT202" i="6"/>
  <c r="F201" i="6"/>
  <c r="G201" i="6" s="1"/>
  <c r="H201" i="6" s="1"/>
  <c r="I201" i="6" s="1"/>
  <c r="J201" i="6" s="1"/>
  <c r="L201" i="6" s="1"/>
  <c r="M201" i="6" s="1"/>
  <c r="N201" i="6" s="1"/>
  <c r="Q201" i="6" s="1"/>
  <c r="R201" i="6" s="1"/>
  <c r="S201" i="6" s="1"/>
  <c r="T201" i="6" s="1"/>
  <c r="U201" i="6" s="1"/>
  <c r="V201" i="6" s="1"/>
  <c r="AT201" i="6"/>
  <c r="AF199" i="6"/>
  <c r="AP198" i="6"/>
  <c r="AF197" i="6"/>
  <c r="AP194" i="6"/>
  <c r="AT192" i="6"/>
  <c r="AF191" i="6"/>
  <c r="AB191" i="6"/>
  <c r="X191" i="6"/>
  <c r="T191" i="6"/>
  <c r="N191" i="6"/>
  <c r="J191" i="6"/>
  <c r="AJ190" i="6"/>
  <c r="R171" i="6"/>
  <c r="J169" i="6"/>
  <c r="V146" i="6"/>
  <c r="L146" i="6"/>
  <c r="X145" i="6"/>
  <c r="N145" i="6"/>
  <c r="L140" i="6"/>
  <c r="Z139" i="6"/>
  <c r="V139" i="6"/>
  <c r="L134" i="6"/>
  <c r="N102" i="6"/>
  <c r="AB81" i="6"/>
  <c r="T81" i="6"/>
  <c r="AB79" i="6"/>
  <c r="R78" i="6"/>
  <c r="V76" i="6"/>
  <c r="Z27" i="6"/>
  <c r="V27" i="6"/>
  <c r="R27" i="6"/>
  <c r="Z25" i="6"/>
  <c r="V25" i="6"/>
  <c r="L25" i="6"/>
  <c r="V181" i="6"/>
  <c r="T180" i="6"/>
  <c r="L180" i="6"/>
  <c r="N179" i="6"/>
  <c r="J179" i="6"/>
  <c r="Z160" i="6"/>
  <c r="R157" i="6"/>
  <c r="L130" i="6"/>
  <c r="Z128" i="6"/>
  <c r="V128" i="6"/>
  <c r="L101" i="6"/>
  <c r="N99" i="6"/>
  <c r="V95" i="6"/>
  <c r="Z92" i="6"/>
  <c r="V92" i="6"/>
  <c r="L92" i="6"/>
  <c r="Z91" i="6"/>
  <c r="V91" i="6"/>
  <c r="J90" i="6"/>
  <c r="AF89" i="6"/>
  <c r="Z89" i="6"/>
  <c r="L86" i="6"/>
  <c r="AB83" i="6"/>
  <c r="N74" i="6"/>
  <c r="J74" i="6"/>
  <c r="V71" i="6"/>
  <c r="L67" i="6"/>
  <c r="V65" i="6"/>
  <c r="L53" i="6"/>
  <c r="V15" i="6"/>
  <c r="AR10" i="6"/>
  <c r="AR9" i="6"/>
  <c r="G56" i="3" l="1"/>
  <c r="H56" i="3" s="1"/>
  <c r="H25" i="2"/>
  <c r="H265" i="2"/>
  <c r="H266" i="2"/>
  <c r="G7" i="3"/>
  <c r="H7" i="3" s="1"/>
  <c r="H22" i="2"/>
  <c r="G10" i="3"/>
  <c r="H10" i="3" s="1"/>
  <c r="H203" i="2"/>
  <c r="H202" i="2"/>
  <c r="H201" i="2"/>
  <c r="H12" i="2"/>
  <c r="H132" i="6"/>
  <c r="Z156" i="6"/>
  <c r="H136" i="6"/>
  <c r="N136" i="6"/>
  <c r="AF136" i="6"/>
  <c r="AJ118" i="6"/>
  <c r="J118" i="6"/>
  <c r="AJ122" i="6"/>
  <c r="J122" i="6"/>
  <c r="L150" i="6"/>
  <c r="L154" i="6"/>
  <c r="J167" i="6"/>
  <c r="X167" i="6"/>
  <c r="AT167" i="6"/>
  <c r="AJ148" i="6"/>
  <c r="AB148" i="6"/>
  <c r="T148" i="6"/>
  <c r="V150" i="6"/>
  <c r="V160" i="6"/>
  <c r="AB118" i="6"/>
  <c r="AB122" i="6"/>
  <c r="X156" i="6"/>
  <c r="X160" i="6"/>
  <c r="Z126" i="6"/>
  <c r="H156" i="6"/>
  <c r="H160" i="6"/>
  <c r="AJ150" i="6"/>
  <c r="N154" i="6"/>
  <c r="F160" i="6"/>
  <c r="AT160" i="6"/>
  <c r="H141" i="6"/>
  <c r="AB141" i="6"/>
  <c r="R126" i="6"/>
  <c r="J126" i="6"/>
  <c r="L174" i="6"/>
  <c r="AP129" i="6"/>
  <c r="V118" i="6"/>
  <c r="V122" i="6"/>
  <c r="R148" i="6"/>
  <c r="T167" i="6"/>
  <c r="AB167" i="6"/>
  <c r="AJ167" i="6"/>
  <c r="AT148" i="6"/>
  <c r="X148" i="6"/>
  <c r="J148" i="6"/>
  <c r="V154" i="6"/>
  <c r="T118" i="6"/>
  <c r="AF118" i="6"/>
  <c r="T122" i="6"/>
  <c r="AF122" i="6"/>
  <c r="H118" i="6"/>
  <c r="H122" i="6"/>
  <c r="AR126" i="6"/>
  <c r="Z141" i="6"/>
  <c r="X150" i="6"/>
  <c r="X154" i="6"/>
  <c r="H150" i="6"/>
  <c r="H154" i="6"/>
  <c r="N150" i="6"/>
  <c r="AJ154" i="6"/>
  <c r="F156" i="6"/>
  <c r="AT156" i="6"/>
  <c r="AF141" i="6"/>
  <c r="T141" i="6"/>
  <c r="AP126" i="6"/>
  <c r="X126" i="6"/>
  <c r="H174" i="6"/>
  <c r="AB174" i="6"/>
  <c r="J132" i="6"/>
  <c r="J144" i="6"/>
  <c r="H144" i="6"/>
  <c r="L160" i="6"/>
  <c r="F118" i="6"/>
  <c r="AR122" i="6"/>
  <c r="T136" i="6"/>
  <c r="AB136" i="6"/>
  <c r="AJ136" i="6"/>
  <c r="Z118" i="6"/>
  <c r="Z122" i="6"/>
  <c r="H148" i="6"/>
  <c r="N167" i="6"/>
  <c r="AF167" i="6"/>
  <c r="AF148" i="6"/>
  <c r="N148" i="6"/>
  <c r="J150" i="6"/>
  <c r="AH154" i="6"/>
  <c r="H167" i="6"/>
  <c r="AP118" i="6"/>
  <c r="AP122" i="6"/>
  <c r="N126" i="6"/>
  <c r="L141" i="6"/>
  <c r="T150" i="6"/>
  <c r="AF150" i="6"/>
  <c r="T154" i="6"/>
  <c r="AF154" i="6"/>
  <c r="AB156" i="6"/>
  <c r="AB160" i="6"/>
  <c r="AJ126" i="6"/>
  <c r="F141" i="6"/>
  <c r="AP150" i="6"/>
  <c r="AP154" i="6"/>
  <c r="R156" i="6"/>
  <c r="R160" i="6"/>
  <c r="F126" i="6"/>
  <c r="F150" i="6"/>
  <c r="AT150" i="6"/>
  <c r="AJ156" i="6"/>
  <c r="N160" i="6"/>
  <c r="AP141" i="6"/>
  <c r="H126" i="6"/>
  <c r="AB126" i="6"/>
  <c r="AH174" i="6"/>
  <c r="N174" i="6"/>
  <c r="AP174" i="6"/>
  <c r="AR174" i="6"/>
  <c r="AF155" i="6"/>
  <c r="AJ138" i="6"/>
  <c r="J20" i="6"/>
  <c r="AR20" i="6"/>
  <c r="H20" i="6"/>
  <c r="AT20" i="6"/>
  <c r="AF20" i="6"/>
  <c r="T20" i="6"/>
  <c r="AP157" i="6"/>
  <c r="AT129" i="6"/>
  <c r="L129" i="6"/>
  <c r="Z171" i="6"/>
  <c r="AR161" i="6"/>
  <c r="V129" i="6"/>
  <c r="AP171" i="6"/>
  <c r="AJ142" i="6"/>
  <c r="AR82" i="6"/>
  <c r="AJ129" i="6"/>
  <c r="Z129" i="6"/>
  <c r="AF129" i="6"/>
  <c r="N129" i="6"/>
  <c r="F129" i="6"/>
  <c r="AR129" i="6"/>
  <c r="AH129" i="6"/>
  <c r="R129" i="6"/>
  <c r="H129" i="6"/>
  <c r="AB129" i="6"/>
  <c r="X129" i="6"/>
  <c r="T129" i="6"/>
  <c r="AF163" i="6"/>
  <c r="AH161" i="6"/>
  <c r="AT149" i="6"/>
  <c r="AF142" i="6"/>
  <c r="X142" i="6"/>
  <c r="Z119" i="6"/>
  <c r="AR110" i="6"/>
  <c r="AH94" i="6"/>
  <c r="R94" i="6"/>
  <c r="AH82" i="6"/>
  <c r="AP14" i="6"/>
  <c r="AR46" i="6"/>
  <c r="H54" i="6"/>
  <c r="H58" i="6"/>
  <c r="R63" i="6"/>
  <c r="AP63" i="6"/>
  <c r="R66" i="6"/>
  <c r="AP66" i="6"/>
  <c r="R70" i="6"/>
  <c r="AP70" i="6"/>
  <c r="V40" i="6"/>
  <c r="AP40" i="6"/>
  <c r="X44" i="6"/>
  <c r="J44" i="6"/>
  <c r="G12" i="3"/>
  <c r="H12" i="3" s="1"/>
  <c r="G20" i="2"/>
  <c r="AP44" i="6"/>
  <c r="AR23" i="6"/>
  <c r="AF176" i="6"/>
  <c r="AF186" i="6"/>
  <c r="R180" i="6"/>
  <c r="G16" i="2"/>
  <c r="H16" i="2" s="1"/>
  <c r="AH169" i="6"/>
  <c r="AB142" i="6"/>
  <c r="AR130" i="6"/>
  <c r="AT73" i="6"/>
  <c r="T73" i="6"/>
  <c r="AP184" i="6"/>
  <c r="AF78" i="6"/>
  <c r="AJ76" i="6"/>
  <c r="AF73" i="6"/>
  <c r="AB73" i="6"/>
  <c r="F23" i="6"/>
  <c r="AP69" i="6"/>
  <c r="R172" i="6"/>
  <c r="J172" i="6"/>
  <c r="AJ174" i="6"/>
  <c r="R174" i="6"/>
  <c r="J174" i="6"/>
  <c r="AB176" i="6"/>
  <c r="Z190" i="6"/>
  <c r="AH179" i="6"/>
  <c r="AT76" i="6"/>
  <c r="AR75" i="6"/>
  <c r="AJ73" i="6"/>
  <c r="X73" i="6"/>
  <c r="AJ59" i="6"/>
  <c r="X59" i="6"/>
  <c r="AT56" i="6"/>
  <c r="AF172" i="6"/>
  <c r="T172" i="6"/>
  <c r="AT174" i="6"/>
  <c r="F174" i="6"/>
  <c r="AF174" i="6"/>
  <c r="T174" i="6"/>
  <c r="AP176" i="6"/>
  <c r="J176" i="6"/>
  <c r="AR176" i="6"/>
  <c r="AH190" i="6"/>
  <c r="AR192" i="6"/>
  <c r="AH205" i="6"/>
  <c r="AB179" i="6"/>
  <c r="AJ177" i="6"/>
  <c r="AH148" i="6"/>
  <c r="AH69" i="6"/>
  <c r="AF59" i="6"/>
  <c r="AT40" i="6"/>
  <c r="AP23" i="6"/>
  <c r="Z23" i="6"/>
  <c r="Z22" i="6"/>
  <c r="AJ128" i="6"/>
  <c r="AJ98" i="6"/>
  <c r="X76" i="6"/>
  <c r="AR186" i="6"/>
  <c r="AJ181" i="6"/>
  <c r="AP179" i="6"/>
  <c r="V179" i="6"/>
  <c r="AH145" i="6"/>
  <c r="AT131" i="6"/>
  <c r="L131" i="6"/>
  <c r="Z90" i="6"/>
  <c r="AR85" i="6"/>
  <c r="AP67" i="6"/>
  <c r="AJ58" i="6"/>
  <c r="J58" i="6"/>
  <c r="AH54" i="6"/>
  <c r="AT23" i="6"/>
  <c r="AH23" i="6"/>
  <c r="L23" i="6"/>
  <c r="AR19" i="6"/>
  <c r="AH12" i="6"/>
  <c r="AH191" i="6"/>
  <c r="X182" i="6"/>
  <c r="AT181" i="6"/>
  <c r="AF179" i="6"/>
  <c r="Z179" i="6"/>
  <c r="AP159" i="6"/>
  <c r="AH127" i="6"/>
  <c r="AR104" i="6"/>
  <c r="AR101" i="6"/>
  <c r="AH90" i="6"/>
  <c r="AT68" i="6"/>
  <c r="AR67" i="6"/>
  <c r="AJ66" i="6"/>
  <c r="AF58" i="6"/>
  <c r="AJ23" i="6"/>
  <c r="F179" i="6"/>
  <c r="J163" i="6"/>
  <c r="AH146" i="6"/>
  <c r="AJ74" i="6"/>
  <c r="R19" i="6"/>
  <c r="F194" i="6"/>
  <c r="G194" i="6" s="1"/>
  <c r="H194" i="6" s="1"/>
  <c r="I194" i="6" s="1"/>
  <c r="J194" i="6" s="1"/>
  <c r="L194" i="6" s="1"/>
  <c r="M194" i="6" s="1"/>
  <c r="N194" i="6" s="1"/>
  <c r="Q194" i="6" s="1"/>
  <c r="R194" i="6" s="1"/>
  <c r="S194" i="6" s="1"/>
  <c r="T194" i="6" s="1"/>
  <c r="U194" i="6" s="1"/>
  <c r="V194" i="6" s="1"/>
  <c r="AH194" i="6"/>
  <c r="AB173" i="6"/>
  <c r="Z167" i="6"/>
  <c r="N163" i="6"/>
  <c r="AR163" i="6"/>
  <c r="X163" i="6"/>
  <c r="AJ163" i="6"/>
  <c r="H161" i="6"/>
  <c r="V161" i="6"/>
  <c r="AH201" i="6"/>
  <c r="AR204" i="6"/>
  <c r="J189" i="6"/>
  <c r="H185" i="6"/>
  <c r="AH185" i="6"/>
  <c r="AB185" i="6"/>
  <c r="H183" i="6"/>
  <c r="AF183" i="6"/>
  <c r="L178" i="6"/>
  <c r="X178" i="6"/>
  <c r="N178" i="6"/>
  <c r="AJ204" i="6"/>
  <c r="AT204" i="6"/>
  <c r="F184" i="6"/>
  <c r="L175" i="6"/>
  <c r="X173" i="6"/>
  <c r="AP173" i="6"/>
  <c r="AP148" i="6"/>
  <c r="L148" i="6"/>
  <c r="AR146" i="6"/>
  <c r="AT144" i="6"/>
  <c r="AP127" i="6"/>
  <c r="Z127" i="6"/>
  <c r="Z117" i="6"/>
  <c r="AP90" i="6"/>
  <c r="L90" i="6"/>
  <c r="AB86" i="6"/>
  <c r="R84" i="6"/>
  <c r="Z74" i="6"/>
  <c r="H59" i="6"/>
  <c r="AT58" i="6"/>
  <c r="X58" i="6"/>
  <c r="V180" i="6"/>
  <c r="N177" i="6"/>
  <c r="AR148" i="6"/>
  <c r="Z148" i="6"/>
  <c r="N142" i="6"/>
  <c r="Z140" i="6"/>
  <c r="AH132" i="6"/>
  <c r="AR127" i="6"/>
  <c r="AR90" i="6"/>
  <c r="AJ86" i="6"/>
  <c r="AT74" i="6"/>
  <c r="AB74" i="6"/>
  <c r="H69" i="6"/>
  <c r="F67" i="6"/>
  <c r="AT59" i="6"/>
  <c r="AB59" i="6"/>
  <c r="R59" i="6"/>
  <c r="AH58" i="6"/>
  <c r="Z53" i="6"/>
  <c r="AP28" i="6"/>
  <c r="AF23" i="6"/>
  <c r="AB23" i="6"/>
  <c r="AP153" i="6"/>
  <c r="R127" i="6"/>
  <c r="J86" i="6"/>
  <c r="F74" i="6"/>
  <c r="AH139" i="6"/>
  <c r="V124" i="6"/>
  <c r="AT124" i="6"/>
  <c r="L103" i="6"/>
  <c r="AH103" i="6"/>
  <c r="R103" i="6"/>
  <c r="AR91" i="6"/>
  <c r="L85" i="6"/>
  <c r="J85" i="6"/>
  <c r="AF85" i="6"/>
  <c r="Z85" i="6"/>
  <c r="L82" i="6"/>
  <c r="Z82" i="6"/>
  <c r="AP82" i="6"/>
  <c r="F82" i="6"/>
  <c r="X81" i="6"/>
  <c r="H81" i="6"/>
  <c r="AF202" i="6"/>
  <c r="AF203" i="6"/>
  <c r="AF204" i="6"/>
  <c r="F192" i="6"/>
  <c r="H186" i="6"/>
  <c r="AR172" i="6"/>
  <c r="AF182" i="6"/>
  <c r="AH202" i="6"/>
  <c r="AH203" i="6"/>
  <c r="R184" i="6"/>
  <c r="G204" i="6"/>
  <c r="H204" i="6" s="1"/>
  <c r="I204" i="6" s="1"/>
  <c r="J204" i="6" s="1"/>
  <c r="M204" i="6" s="1"/>
  <c r="N204" i="6" s="1"/>
  <c r="Q204" i="6" s="1"/>
  <c r="R204" i="6" s="1"/>
  <c r="S204" i="6" s="1"/>
  <c r="T204" i="6" s="1"/>
  <c r="U204" i="6" s="1"/>
  <c r="V204" i="6" s="1"/>
  <c r="AT185" i="6"/>
  <c r="AR184" i="6"/>
  <c r="X177" i="6"/>
  <c r="AR171" i="6"/>
  <c r="F171" i="6"/>
  <c r="AP167" i="6"/>
  <c r="AR158" i="6"/>
  <c r="AR156" i="6"/>
  <c r="N149" i="6"/>
  <c r="AP146" i="6"/>
  <c r="AP144" i="6"/>
  <c r="AT142" i="6"/>
  <c r="AH142" i="6"/>
  <c r="R138" i="6"/>
  <c r="AP138" i="6"/>
  <c r="L138" i="6"/>
  <c r="AH138" i="6"/>
  <c r="AT138" i="6"/>
  <c r="AR133" i="6"/>
  <c r="V111" i="6"/>
  <c r="AH111" i="6"/>
  <c r="R111" i="6"/>
  <c r="T99" i="6"/>
  <c r="AJ99" i="6"/>
  <c r="V171" i="6"/>
  <c r="H142" i="6"/>
  <c r="F142" i="6"/>
  <c r="T142" i="6"/>
  <c r="Z142" i="6"/>
  <c r="R134" i="6"/>
  <c r="AH134" i="6"/>
  <c r="V123" i="6"/>
  <c r="Z115" i="6"/>
  <c r="AP115" i="6"/>
  <c r="L115" i="6"/>
  <c r="F110" i="6"/>
  <c r="L109" i="6"/>
  <c r="L107" i="6"/>
  <c r="AH107" i="6"/>
  <c r="AR105" i="6"/>
  <c r="AF87" i="6"/>
  <c r="AF76" i="6"/>
  <c r="AT199" i="6"/>
  <c r="X202" i="6"/>
  <c r="Y202" i="6" s="1"/>
  <c r="Z202" i="6" s="1"/>
  <c r="X203" i="6"/>
  <c r="Y203" i="6" s="1"/>
  <c r="Z203" i="6" s="1"/>
  <c r="X204" i="6"/>
  <c r="Y204" i="6" s="1"/>
  <c r="Z204" i="6" s="1"/>
  <c r="Z192" i="6"/>
  <c r="AP192" i="6"/>
  <c r="AH204" i="6"/>
  <c r="AP204" i="6"/>
  <c r="N189" i="6"/>
  <c r="V185" i="6"/>
  <c r="V184" i="6"/>
  <c r="L182" i="6"/>
  <c r="T179" i="6"/>
  <c r="AH171" i="6"/>
  <c r="V167" i="6"/>
  <c r="AP165" i="6"/>
  <c r="V163" i="6"/>
  <c r="Z157" i="6"/>
  <c r="AJ149" i="6"/>
  <c r="Z146" i="6"/>
  <c r="AF144" i="6"/>
  <c r="AB144" i="6"/>
  <c r="AR138" i="6"/>
  <c r="V138" i="6"/>
  <c r="H125" i="6"/>
  <c r="L125" i="6"/>
  <c r="AR125" i="6"/>
  <c r="N106" i="6"/>
  <c r="J106" i="6"/>
  <c r="AR106" i="6"/>
  <c r="F101" i="6"/>
  <c r="R101" i="6"/>
  <c r="AH101" i="6"/>
  <c r="H98" i="6"/>
  <c r="AT98" i="6"/>
  <c r="N98" i="6"/>
  <c r="Z138" i="6"/>
  <c r="X86" i="6"/>
  <c r="L72" i="6"/>
  <c r="AP71" i="6"/>
  <c r="H71" i="6"/>
  <c r="Z69" i="6"/>
  <c r="L65" i="6"/>
  <c r="V58" i="6"/>
  <c r="T56" i="6"/>
  <c r="AR53" i="6"/>
  <c r="F53" i="6"/>
  <c r="H46" i="6"/>
  <c r="X41" i="6"/>
  <c r="AR36" i="6"/>
  <c r="AP33" i="6"/>
  <c r="AH28" i="6"/>
  <c r="L28" i="6"/>
  <c r="V21" i="6"/>
  <c r="AT19" i="6"/>
  <c r="V19" i="6"/>
  <c r="J19" i="6"/>
  <c r="J16" i="6"/>
  <c r="AP12" i="6"/>
  <c r="J12" i="6"/>
  <c r="V53" i="6"/>
  <c r="AH19" i="6"/>
  <c r="H19" i="6"/>
  <c r="AR16" i="6"/>
  <c r="R16" i="6"/>
  <c r="AR12" i="6"/>
  <c r="R12" i="6"/>
  <c r="AH65" i="6"/>
  <c r="AJ56" i="6"/>
  <c r="AH53" i="6"/>
  <c r="AR38" i="6"/>
  <c r="L20" i="6"/>
  <c r="AP19" i="6"/>
  <c r="Z19" i="6"/>
  <c r="AT12" i="6"/>
  <c r="N122" i="6"/>
  <c r="Z113" i="6"/>
  <c r="L113" i="6"/>
  <c r="AP113" i="6"/>
  <c r="AH102" i="6"/>
  <c r="AR97" i="6"/>
  <c r="H192" i="6"/>
  <c r="V186" i="6"/>
  <c r="AJ186" i="6"/>
  <c r="AT203" i="6"/>
  <c r="F198" i="6"/>
  <c r="G198" i="6" s="1"/>
  <c r="H198" i="6" s="1"/>
  <c r="I198" i="6" s="1"/>
  <c r="J198" i="6" s="1"/>
  <c r="L198" i="6" s="1"/>
  <c r="M198" i="6" s="1"/>
  <c r="N198" i="6" s="1"/>
  <c r="Q198" i="6" s="1"/>
  <c r="R198" i="6" s="1"/>
  <c r="S198" i="6" s="1"/>
  <c r="T198" i="6" s="1"/>
  <c r="U198" i="6" s="1"/>
  <c r="V198" i="6" s="1"/>
  <c r="J186" i="6"/>
  <c r="Z185" i="6"/>
  <c r="AF184" i="6"/>
  <c r="J184" i="6"/>
  <c r="AT173" i="6"/>
  <c r="AF173" i="6"/>
  <c r="N173" i="6"/>
  <c r="AP169" i="6"/>
  <c r="Z169" i="6"/>
  <c r="AP161" i="6"/>
  <c r="Z161" i="6"/>
  <c r="F161" i="6"/>
  <c r="Z159" i="6"/>
  <c r="AR157" i="6"/>
  <c r="AR152" i="6"/>
  <c r="T144" i="6"/>
  <c r="V143" i="6"/>
  <c r="V140" i="6"/>
  <c r="AR139" i="6"/>
  <c r="Z136" i="6"/>
  <c r="L139" i="6"/>
  <c r="L132" i="6"/>
  <c r="T132" i="6"/>
  <c r="Z132" i="6"/>
  <c r="AP132" i="6"/>
  <c r="V130" i="6"/>
  <c r="R130" i="6"/>
  <c r="AH130" i="6"/>
  <c r="N116" i="6"/>
  <c r="AH116" i="6"/>
  <c r="N108" i="6"/>
  <c r="AH108" i="6"/>
  <c r="L105" i="6"/>
  <c r="V105" i="6"/>
  <c r="F105" i="6"/>
  <c r="Z105" i="6"/>
  <c r="AP105" i="6"/>
  <c r="Z95" i="6"/>
  <c r="R92" i="6"/>
  <c r="AR92" i="6"/>
  <c r="F92" i="6"/>
  <c r="AH92" i="6"/>
  <c r="AH88" i="6"/>
  <c r="T173" i="6"/>
  <c r="L161" i="6"/>
  <c r="H138" i="6"/>
  <c r="N138" i="6"/>
  <c r="AB138" i="6"/>
  <c r="AF138" i="6"/>
  <c r="F138" i="6"/>
  <c r="AT126" i="6"/>
  <c r="Z121" i="6"/>
  <c r="AP121" i="6"/>
  <c r="L121" i="6"/>
  <c r="J87" i="6"/>
  <c r="T87" i="6"/>
  <c r="AR87" i="6"/>
  <c r="AT80" i="6"/>
  <c r="V182" i="6"/>
  <c r="AJ182" i="6"/>
  <c r="T190" i="6"/>
  <c r="AT190" i="6"/>
  <c r="AP193" i="6"/>
  <c r="H184" i="6"/>
  <c r="AF187" i="6"/>
  <c r="AB186" i="6"/>
  <c r="L185" i="6"/>
  <c r="AJ184" i="6"/>
  <c r="X184" i="6"/>
  <c r="AR182" i="6"/>
  <c r="AB182" i="6"/>
  <c r="Z175" i="6"/>
  <c r="AJ173" i="6"/>
  <c r="L169" i="6"/>
  <c r="R161" i="6"/>
  <c r="L159" i="6"/>
  <c r="AH157" i="6"/>
  <c r="F157" i="6"/>
  <c r="L152" i="6"/>
  <c r="N147" i="6"/>
  <c r="AJ144" i="6"/>
  <c r="X144" i="6"/>
  <c r="F144" i="6"/>
  <c r="L142" i="6"/>
  <c r="AP140" i="6"/>
  <c r="AR132" i="6"/>
  <c r="AH105" i="6"/>
  <c r="R105" i="6"/>
  <c r="R136" i="6"/>
  <c r="L136" i="6"/>
  <c r="AP136" i="6"/>
  <c r="R144" i="6"/>
  <c r="X87" i="6"/>
  <c r="V90" i="6"/>
  <c r="AR76" i="6"/>
  <c r="AH76" i="6"/>
  <c r="Z76" i="6"/>
  <c r="F76" i="6"/>
  <c r="AP73" i="6"/>
  <c r="R73" i="6"/>
  <c r="Z65" i="6"/>
  <c r="AT63" i="6"/>
  <c r="AB54" i="6"/>
  <c r="AR41" i="6"/>
  <c r="AH40" i="6"/>
  <c r="L40" i="6"/>
  <c r="AJ25" i="6"/>
  <c r="AP22" i="6"/>
  <c r="AH15" i="6"/>
  <c r="AJ14" i="6"/>
  <c r="J14" i="6"/>
  <c r="AR13" i="6"/>
  <c r="R14" i="6"/>
  <c r="Z131" i="6"/>
  <c r="V127" i="6"/>
  <c r="Z125" i="6"/>
  <c r="V85" i="6"/>
  <c r="AP76" i="6"/>
  <c r="T75" i="6"/>
  <c r="AR73" i="6"/>
  <c r="AH73" i="6"/>
  <c r="Z73" i="6"/>
  <c r="V73" i="6"/>
  <c r="F73" i="6"/>
  <c r="AP65" i="6"/>
  <c r="L63" i="6"/>
  <c r="AT44" i="6"/>
  <c r="R41" i="6"/>
  <c r="Z40" i="6"/>
  <c r="AH36" i="6"/>
  <c r="L36" i="6"/>
  <c r="R22" i="6"/>
  <c r="AR14" i="6"/>
  <c r="F11" i="6"/>
  <c r="N73" i="6"/>
  <c r="T155" i="6"/>
  <c r="AB155" i="6"/>
  <c r="AT155" i="6"/>
  <c r="J155" i="6"/>
  <c r="X155" i="6"/>
  <c r="AJ155" i="6"/>
  <c r="J152" i="6"/>
  <c r="V152" i="6"/>
  <c r="AH152" i="6"/>
  <c r="R192" i="6"/>
  <c r="AH192" i="6"/>
  <c r="R189" i="6"/>
  <c r="G203" i="6"/>
  <c r="H203" i="6" s="1"/>
  <c r="I203" i="6" s="1"/>
  <c r="J203" i="6" s="1"/>
  <c r="M203" i="6" s="1"/>
  <c r="N203" i="6" s="1"/>
  <c r="Q203" i="6" s="1"/>
  <c r="R203" i="6" s="1"/>
  <c r="S203" i="6" s="1"/>
  <c r="T203" i="6" s="1"/>
  <c r="U203" i="6" s="1"/>
  <c r="V203" i="6" s="1"/>
  <c r="AP202" i="6"/>
  <c r="F199" i="6"/>
  <c r="G199" i="6" s="1"/>
  <c r="H199" i="6" s="1"/>
  <c r="I199" i="6" s="1"/>
  <c r="J199" i="6" s="1"/>
  <c r="L199" i="6" s="1"/>
  <c r="M199" i="6" s="1"/>
  <c r="N199" i="6" s="1"/>
  <c r="Q199" i="6" s="1"/>
  <c r="R199" i="6" s="1"/>
  <c r="S199" i="6" s="1"/>
  <c r="T199" i="6" s="1"/>
  <c r="U199" i="6" s="1"/>
  <c r="V199" i="6" s="1"/>
  <c r="AR194" i="6"/>
  <c r="AF192" i="6"/>
  <c r="R191" i="6"/>
  <c r="AT189" i="6"/>
  <c r="AB189" i="6"/>
  <c r="V189" i="6"/>
  <c r="AT187" i="6"/>
  <c r="AB187" i="6"/>
  <c r="R187" i="6"/>
  <c r="AR185" i="6"/>
  <c r="X185" i="6"/>
  <c r="F185" i="6"/>
  <c r="AT184" i="6"/>
  <c r="AH184" i="6"/>
  <c r="Z184" i="6"/>
  <c r="N184" i="6"/>
  <c r="AT183" i="6"/>
  <c r="AJ180" i="6"/>
  <c r="X180" i="6"/>
  <c r="J178" i="6"/>
  <c r="AH175" i="6"/>
  <c r="N151" i="6"/>
  <c r="V145" i="6"/>
  <c r="V164" i="6"/>
  <c r="AH164" i="6"/>
  <c r="J164" i="6"/>
  <c r="Z162" i="6"/>
  <c r="L156" i="6"/>
  <c r="J156" i="6"/>
  <c r="AH156" i="6"/>
  <c r="V135" i="6"/>
  <c r="AT135" i="6"/>
  <c r="R173" i="6"/>
  <c r="F173" i="6"/>
  <c r="H163" i="6"/>
  <c r="L163" i="6"/>
  <c r="AB163" i="6"/>
  <c r="F163" i="6"/>
  <c r="T163" i="6"/>
  <c r="Z163" i="6"/>
  <c r="AH163" i="6"/>
  <c r="AT163" i="6"/>
  <c r="R159" i="6"/>
  <c r="AR159" i="6"/>
  <c r="H159" i="6"/>
  <c r="AH159" i="6"/>
  <c r="V141" i="6"/>
  <c r="R140" i="6"/>
  <c r="AH140" i="6"/>
  <c r="F140" i="6"/>
  <c r="F139" i="6"/>
  <c r="AT139" i="6"/>
  <c r="AJ139" i="6"/>
  <c r="AP197" i="6"/>
  <c r="AP199" i="6"/>
  <c r="AR202" i="6"/>
  <c r="AR203" i="6"/>
  <c r="AH189" i="6"/>
  <c r="AR191" i="6"/>
  <c r="AJ189" i="6"/>
  <c r="Z189" i="6"/>
  <c r="F189" i="6"/>
  <c r="AJ187" i="6"/>
  <c r="X187" i="6"/>
  <c r="AJ185" i="6"/>
  <c r="AF185" i="6"/>
  <c r="R185" i="6"/>
  <c r="AB184" i="6"/>
  <c r="AJ183" i="6"/>
  <c r="N183" i="6"/>
  <c r="AF180" i="6"/>
  <c r="J180" i="6"/>
  <c r="AR179" i="6"/>
  <c r="X179" i="6"/>
  <c r="R179" i="6"/>
  <c r="AT177" i="6"/>
  <c r="AB177" i="6"/>
  <c r="T177" i="6"/>
  <c r="F175" i="6"/>
  <c r="AR164" i="6"/>
  <c r="L164" i="6"/>
  <c r="Z152" i="6"/>
  <c r="AF151" i="6"/>
  <c r="AT145" i="6"/>
  <c r="AR160" i="6"/>
  <c r="J151" i="6"/>
  <c r="X151" i="6"/>
  <c r="AJ151" i="6"/>
  <c r="T151" i="6"/>
  <c r="AB151" i="6"/>
  <c r="AT151" i="6"/>
  <c r="F145" i="6"/>
  <c r="Z145" i="6"/>
  <c r="AJ145" i="6"/>
  <c r="L145" i="6"/>
  <c r="V175" i="6"/>
  <c r="Z164" i="6"/>
  <c r="L84" i="6"/>
  <c r="AF84" i="6"/>
  <c r="J84" i="6"/>
  <c r="H56" i="6"/>
  <c r="N56" i="6"/>
  <c r="AF56" i="6"/>
  <c r="N144" i="6"/>
  <c r="V136" i="6"/>
  <c r="AT132" i="6"/>
  <c r="AJ132" i="6"/>
  <c r="F132" i="6"/>
  <c r="AP130" i="6"/>
  <c r="Z130" i="6"/>
  <c r="F130" i="6"/>
  <c r="F128" i="6"/>
  <c r="AF127" i="6"/>
  <c r="AB127" i="6"/>
  <c r="X127" i="6"/>
  <c r="T127" i="6"/>
  <c r="F127" i="6"/>
  <c r="V125" i="6"/>
  <c r="N114" i="6"/>
  <c r="AH112" i="6"/>
  <c r="AH110" i="6"/>
  <c r="N110" i="6"/>
  <c r="H107" i="6"/>
  <c r="H103" i="6"/>
  <c r="V101" i="6"/>
  <c r="AP99" i="6"/>
  <c r="AF99" i="6"/>
  <c r="V97" i="6"/>
  <c r="AT96" i="6"/>
  <c r="N96" i="6"/>
  <c r="AP94" i="6"/>
  <c r="Z94" i="6"/>
  <c r="L94" i="6"/>
  <c r="AH91" i="6"/>
  <c r="R90" i="6"/>
  <c r="AH89" i="6"/>
  <c r="T89" i="6"/>
  <c r="H80" i="6"/>
  <c r="AJ80" i="6"/>
  <c r="R80" i="6"/>
  <c r="AH77" i="6"/>
  <c r="T70" i="6"/>
  <c r="N132" i="6"/>
  <c r="L127" i="6"/>
  <c r="R107" i="6"/>
  <c r="R88" i="6"/>
  <c r="F78" i="6"/>
  <c r="AB78" i="6"/>
  <c r="AP78" i="6"/>
  <c r="Z78" i="6"/>
  <c r="AH78" i="6"/>
  <c r="AR78" i="6"/>
  <c r="F63" i="6"/>
  <c r="H63" i="6"/>
  <c r="AB63" i="6"/>
  <c r="AH63" i="6"/>
  <c r="T63" i="6"/>
  <c r="AR63" i="6"/>
  <c r="J142" i="6"/>
  <c r="X138" i="6"/>
  <c r="T138" i="6"/>
  <c r="J138" i="6"/>
  <c r="AT133" i="6"/>
  <c r="N133" i="6"/>
  <c r="AF132" i="6"/>
  <c r="AB132" i="6"/>
  <c r="X132" i="6"/>
  <c r="R132" i="6"/>
  <c r="AT127" i="6"/>
  <c r="AJ127" i="6"/>
  <c r="N127" i="6"/>
  <c r="AH122" i="6"/>
  <c r="AH118" i="6"/>
  <c r="AP117" i="6"/>
  <c r="L117" i="6"/>
  <c r="AH114" i="6"/>
  <c r="N112" i="6"/>
  <c r="J110" i="6"/>
  <c r="AR108" i="6"/>
  <c r="J108" i="6"/>
  <c r="AR107" i="6"/>
  <c r="AH104" i="6"/>
  <c r="J104" i="6"/>
  <c r="AR103" i="6"/>
  <c r="AP101" i="6"/>
  <c r="Z101" i="6"/>
  <c r="F100" i="6"/>
  <c r="AT99" i="6"/>
  <c r="AB99" i="6"/>
  <c r="F99" i="6"/>
  <c r="V94" i="6"/>
  <c r="J94" i="6"/>
  <c r="X91" i="6"/>
  <c r="X84" i="6"/>
  <c r="Z70" i="6"/>
  <c r="X56" i="6"/>
  <c r="X99" i="6"/>
  <c r="X38" i="6"/>
  <c r="F13" i="6"/>
  <c r="R86" i="6"/>
  <c r="AB85" i="6"/>
  <c r="AT54" i="6"/>
  <c r="AH45" i="6"/>
  <c r="AH44" i="6"/>
  <c r="H44" i="6"/>
  <c r="AP41" i="6"/>
  <c r="V41" i="6"/>
  <c r="AF38" i="6"/>
  <c r="AB35" i="6"/>
  <c r="N31" i="6"/>
  <c r="AR28" i="6"/>
  <c r="AH26" i="6"/>
  <c r="AP25" i="6"/>
  <c r="F25" i="6"/>
  <c r="AH22" i="6"/>
  <c r="Z15" i="6"/>
  <c r="AT14" i="6"/>
  <c r="AH14" i="6"/>
  <c r="AJ12" i="6"/>
  <c r="V31" i="6"/>
  <c r="V82" i="6"/>
  <c r="L73" i="6"/>
  <c r="AR58" i="6"/>
  <c r="AB58" i="6"/>
  <c r="N58" i="6"/>
  <c r="N54" i="6"/>
  <c r="AJ46" i="6"/>
  <c r="AR44" i="6"/>
  <c r="AF41" i="6"/>
  <c r="H41" i="6"/>
  <c r="AJ40" i="6"/>
  <c r="R40" i="6"/>
  <c r="AP38" i="6"/>
  <c r="R38" i="6"/>
  <c r="F33" i="6"/>
  <c r="AR31" i="6"/>
  <c r="AJ29" i="6"/>
  <c r="AT25" i="6"/>
  <c r="AH25" i="6"/>
  <c r="AP24" i="6"/>
  <c r="R24" i="6"/>
  <c r="AR22" i="6"/>
  <c r="H22" i="6"/>
  <c r="AJ30" i="6"/>
  <c r="F30" i="6"/>
  <c r="R30" i="6"/>
  <c r="AT30" i="6"/>
  <c r="L29" i="6"/>
  <c r="L173" i="6"/>
  <c r="V173" i="6"/>
  <c r="Z173" i="6"/>
  <c r="AH173" i="6"/>
  <c r="AR173" i="6"/>
  <c r="Z172" i="6"/>
  <c r="F169" i="6"/>
  <c r="T169" i="6"/>
  <c r="X169" i="6"/>
  <c r="AB169" i="6"/>
  <c r="AF169" i="6"/>
  <c r="N169" i="6"/>
  <c r="AJ169" i="6"/>
  <c r="AT169" i="6"/>
  <c r="Z168" i="6"/>
  <c r="AT205" i="6"/>
  <c r="AJ201" i="6"/>
  <c r="F196" i="6"/>
  <c r="G196" i="6" s="1"/>
  <c r="H196" i="6" s="1"/>
  <c r="I196" i="6" s="1"/>
  <c r="J196" i="6" s="1"/>
  <c r="L196" i="6" s="1"/>
  <c r="M196" i="6" s="1"/>
  <c r="N196" i="6" s="1"/>
  <c r="Q196" i="6" s="1"/>
  <c r="R196" i="6" s="1"/>
  <c r="S196" i="6" s="1"/>
  <c r="T196" i="6" s="1"/>
  <c r="U196" i="6" s="1"/>
  <c r="V196" i="6" s="1"/>
  <c r="AF195" i="6"/>
  <c r="F193" i="6"/>
  <c r="G193" i="6" s="1"/>
  <c r="H193" i="6" s="1"/>
  <c r="I193" i="6" s="1"/>
  <c r="J193" i="6" s="1"/>
  <c r="L193" i="6" s="1"/>
  <c r="M193" i="6" s="1"/>
  <c r="N193" i="6" s="1"/>
  <c r="AJ192" i="6"/>
  <c r="L192" i="6"/>
  <c r="Z191" i="6"/>
  <c r="L191" i="6"/>
  <c r="AP187" i="6"/>
  <c r="L187" i="6"/>
  <c r="AR183" i="6"/>
  <c r="AH183" i="6"/>
  <c r="Z183" i="6"/>
  <c r="V183" i="6"/>
  <c r="L183" i="6"/>
  <c r="AR181" i="6"/>
  <c r="AH181" i="6"/>
  <c r="AB180" i="6"/>
  <c r="F180" i="6"/>
  <c r="AP177" i="6"/>
  <c r="R177" i="6"/>
  <c r="F177" i="6"/>
  <c r="N176" i="6"/>
  <c r="L167" i="6"/>
  <c r="R165" i="6"/>
  <c r="AR165" i="6"/>
  <c r="F165" i="6"/>
  <c r="AH165" i="6"/>
  <c r="Z153" i="6"/>
  <c r="L153" i="6"/>
  <c r="Z150" i="6"/>
  <c r="R146" i="6"/>
  <c r="AJ146" i="6"/>
  <c r="AT146" i="6"/>
  <c r="F146" i="6"/>
  <c r="X146" i="6"/>
  <c r="AB146" i="6"/>
  <c r="AF146" i="6"/>
  <c r="J177" i="6"/>
  <c r="Z166" i="6"/>
  <c r="J162" i="6"/>
  <c r="AR162" i="6"/>
  <c r="J160" i="6"/>
  <c r="AH160" i="6"/>
  <c r="J159" i="6"/>
  <c r="T159" i="6"/>
  <c r="X159" i="6"/>
  <c r="AB159" i="6"/>
  <c r="AF159" i="6"/>
  <c r="F159" i="6"/>
  <c r="N159" i="6"/>
  <c r="AJ159" i="6"/>
  <c r="AT159" i="6"/>
  <c r="F155" i="6"/>
  <c r="R155" i="6"/>
  <c r="AP155" i="6"/>
  <c r="L155" i="6"/>
  <c r="V155" i="6"/>
  <c r="Z155" i="6"/>
  <c r="AH155" i="6"/>
  <c r="AR155" i="6"/>
  <c r="L151" i="6"/>
  <c r="V151" i="6"/>
  <c r="Z151" i="6"/>
  <c r="AH151" i="6"/>
  <c r="AR151" i="6"/>
  <c r="F151" i="6"/>
  <c r="R151" i="6"/>
  <c r="AP151" i="6"/>
  <c r="AB147" i="6"/>
  <c r="AR147" i="6"/>
  <c r="L147" i="6"/>
  <c r="AP195" i="6"/>
  <c r="AR201" i="6"/>
  <c r="AR205" i="6"/>
  <c r="G205" i="6"/>
  <c r="AP196" i="6"/>
  <c r="F195" i="6"/>
  <c r="G195" i="6" s="1"/>
  <c r="H195" i="6" s="1"/>
  <c r="I195" i="6" s="1"/>
  <c r="J195" i="6" s="1"/>
  <c r="L195" i="6" s="1"/>
  <c r="M195" i="6" s="1"/>
  <c r="N195" i="6" s="1"/>
  <c r="Q195" i="6" s="1"/>
  <c r="R195" i="6" s="1"/>
  <c r="S195" i="6" s="1"/>
  <c r="T195" i="6" s="1"/>
  <c r="U195" i="6" s="1"/>
  <c r="V195" i="6" s="1"/>
  <c r="AT191" i="6"/>
  <c r="AJ191" i="6"/>
  <c r="V191" i="6"/>
  <c r="F191" i="6"/>
  <c r="F190" i="6"/>
  <c r="AP189" i="6"/>
  <c r="AF189" i="6"/>
  <c r="X189" i="6"/>
  <c r="AR187" i="6"/>
  <c r="AH187" i="6"/>
  <c r="Z187" i="6"/>
  <c r="V187" i="6"/>
  <c r="F187" i="6"/>
  <c r="AP185" i="6"/>
  <c r="AP183" i="6"/>
  <c r="R183" i="6"/>
  <c r="F183" i="6"/>
  <c r="AP181" i="6"/>
  <c r="F181" i="6"/>
  <c r="AT180" i="6"/>
  <c r="AH180" i="6"/>
  <c r="Z180" i="6"/>
  <c r="AT179" i="6"/>
  <c r="AJ179" i="6"/>
  <c r="AR178" i="6"/>
  <c r="AB178" i="6"/>
  <c r="AR177" i="6"/>
  <c r="AH177" i="6"/>
  <c r="Z177" i="6"/>
  <c r="V177" i="6"/>
  <c r="AR175" i="6"/>
  <c r="J173" i="6"/>
  <c r="AR169" i="6"/>
  <c r="R169" i="6"/>
  <c r="L165" i="6"/>
  <c r="V153" i="6"/>
  <c r="H146" i="6"/>
  <c r="R167" i="6"/>
  <c r="AR167" i="6"/>
  <c r="F167" i="6"/>
  <c r="AH167" i="6"/>
  <c r="N141" i="6"/>
  <c r="AT141" i="6"/>
  <c r="AP191" i="6"/>
  <c r="AR190" i="6"/>
  <c r="AB183" i="6"/>
  <c r="X183" i="6"/>
  <c r="T183" i="6"/>
  <c r="V165" i="6"/>
  <c r="L78" i="6"/>
  <c r="H74" i="6"/>
  <c r="V74" i="6"/>
  <c r="AF74" i="6"/>
  <c r="AP74" i="6"/>
  <c r="L74" i="6"/>
  <c r="X74" i="6"/>
  <c r="AH74" i="6"/>
  <c r="AR74" i="6"/>
  <c r="L69" i="6"/>
  <c r="AJ69" i="6"/>
  <c r="AT69" i="6"/>
  <c r="F69" i="6"/>
  <c r="T69" i="6"/>
  <c r="X69" i="6"/>
  <c r="AB69" i="6"/>
  <c r="AF69" i="6"/>
  <c r="AP163" i="6"/>
  <c r="R163" i="6"/>
  <c r="AR145" i="6"/>
  <c r="AF145" i="6"/>
  <c r="AR144" i="6"/>
  <c r="AH144" i="6"/>
  <c r="Z144" i="6"/>
  <c r="V144" i="6"/>
  <c r="AP142" i="6"/>
  <c r="R142" i="6"/>
  <c r="AR140" i="6"/>
  <c r="AJ137" i="6"/>
  <c r="N137" i="6"/>
  <c r="AH136" i="6"/>
  <c r="F136" i="6"/>
  <c r="V134" i="6"/>
  <c r="V132" i="6"/>
  <c r="F131" i="6"/>
  <c r="AH128" i="6"/>
  <c r="N128" i="6"/>
  <c r="V126" i="6"/>
  <c r="AF125" i="6"/>
  <c r="AB125" i="6"/>
  <c r="X125" i="6"/>
  <c r="T125" i="6"/>
  <c r="J125" i="6"/>
  <c r="AR123" i="6"/>
  <c r="Z123" i="6"/>
  <c r="N120" i="6"/>
  <c r="AP119" i="6"/>
  <c r="L119" i="6"/>
  <c r="N118" i="6"/>
  <c r="AP111" i="6"/>
  <c r="Z111" i="6"/>
  <c r="F111" i="6"/>
  <c r="V109" i="6"/>
  <c r="V107" i="6"/>
  <c r="F107" i="6"/>
  <c r="V103" i="6"/>
  <c r="F103" i="6"/>
  <c r="AR102" i="6"/>
  <c r="J102" i="6"/>
  <c r="AH100" i="6"/>
  <c r="J100" i="6"/>
  <c r="AR98" i="6"/>
  <c r="AH98" i="6"/>
  <c r="L98" i="6"/>
  <c r="AR96" i="6"/>
  <c r="AH96" i="6"/>
  <c r="L96" i="6"/>
  <c r="J91" i="6"/>
  <c r="AF90" i="6"/>
  <c r="AB90" i="6"/>
  <c r="X90" i="6"/>
  <c r="T90" i="6"/>
  <c r="F90" i="6"/>
  <c r="V88" i="6"/>
  <c r="AF86" i="6"/>
  <c r="AF83" i="6"/>
  <c r="H83" i="6"/>
  <c r="AR80" i="6"/>
  <c r="AH80" i="6"/>
  <c r="Z80" i="6"/>
  <c r="L80" i="6"/>
  <c r="AR79" i="6"/>
  <c r="AT70" i="6"/>
  <c r="AB70" i="6"/>
  <c r="F70" i="6"/>
  <c r="L68" i="6"/>
  <c r="AF66" i="6"/>
  <c r="N66" i="6"/>
  <c r="H77" i="6"/>
  <c r="AB72" i="6"/>
  <c r="AH72" i="6"/>
  <c r="F72" i="6"/>
  <c r="AR136" i="6"/>
  <c r="AP134" i="6"/>
  <c r="Z134" i="6"/>
  <c r="F134" i="6"/>
  <c r="AJ131" i="6"/>
  <c r="AT128" i="6"/>
  <c r="AT125" i="6"/>
  <c r="AJ125" i="6"/>
  <c r="N125" i="6"/>
  <c r="F125" i="6"/>
  <c r="N124" i="6"/>
  <c r="AH123" i="6"/>
  <c r="L123" i="6"/>
  <c r="AP109" i="6"/>
  <c r="Z109" i="6"/>
  <c r="F109" i="6"/>
  <c r="AP107" i="6"/>
  <c r="Z107" i="6"/>
  <c r="AP103" i="6"/>
  <c r="Z103" i="6"/>
  <c r="AP98" i="6"/>
  <c r="Z98" i="6"/>
  <c r="R98" i="6"/>
  <c r="J98" i="6"/>
  <c r="AP96" i="6"/>
  <c r="Z96" i="6"/>
  <c r="R96" i="6"/>
  <c r="J96" i="6"/>
  <c r="AF95" i="6"/>
  <c r="T95" i="6"/>
  <c r="AF91" i="6"/>
  <c r="AT90" i="6"/>
  <c r="AJ90" i="6"/>
  <c r="AP88" i="6"/>
  <c r="Z88" i="6"/>
  <c r="F88" i="6"/>
  <c r="AP80" i="6"/>
  <c r="V80" i="6"/>
  <c r="F80" i="6"/>
  <c r="AH79" i="6"/>
  <c r="H79" i="6"/>
  <c r="AR77" i="6"/>
  <c r="T77" i="6"/>
  <c r="AH70" i="6"/>
  <c r="AR69" i="6"/>
  <c r="R69" i="6"/>
  <c r="AH68" i="6"/>
  <c r="L70" i="6"/>
  <c r="X70" i="6"/>
  <c r="AR70" i="6"/>
  <c r="H70" i="6"/>
  <c r="V70" i="6"/>
  <c r="AF70" i="6"/>
  <c r="AJ70" i="6"/>
  <c r="T68" i="6"/>
  <c r="H68" i="6"/>
  <c r="Z68" i="6"/>
  <c r="J66" i="6"/>
  <c r="X66" i="6"/>
  <c r="AR66" i="6"/>
  <c r="AR134" i="6"/>
  <c r="AP125" i="6"/>
  <c r="R125" i="6"/>
  <c r="AP123" i="6"/>
  <c r="AR109" i="6"/>
  <c r="V98" i="6"/>
  <c r="AF96" i="6"/>
  <c r="V96" i="6"/>
  <c r="AH95" i="6"/>
  <c r="AR88" i="6"/>
  <c r="AF80" i="6"/>
  <c r="AF79" i="6"/>
  <c r="AF77" i="6"/>
  <c r="AB77" i="6"/>
  <c r="AJ63" i="6"/>
  <c r="AF63" i="6"/>
  <c r="Z63" i="6"/>
  <c r="AR59" i="6"/>
  <c r="AH59" i="6"/>
  <c r="Z59" i="6"/>
  <c r="V59" i="6"/>
  <c r="F59" i="6"/>
  <c r="Z58" i="6"/>
  <c r="AR56" i="6"/>
  <c r="AH56" i="6"/>
  <c r="Z56" i="6"/>
  <c r="V56" i="6"/>
  <c r="L56" i="6"/>
  <c r="J54" i="6"/>
  <c r="L46" i="6"/>
  <c r="AR45" i="6"/>
  <c r="AB45" i="6"/>
  <c r="AB38" i="6"/>
  <c r="L38" i="6"/>
  <c r="AP36" i="6"/>
  <c r="H36" i="6"/>
  <c r="AT36" i="6"/>
  <c r="AP59" i="6"/>
  <c r="AP56" i="6"/>
  <c r="R56" i="6"/>
  <c r="F56" i="6"/>
  <c r="L45" i="6"/>
  <c r="AH38" i="6"/>
  <c r="Z38" i="6"/>
  <c r="T38" i="6"/>
  <c r="H38" i="6"/>
  <c r="V38" i="6"/>
  <c r="AT29" i="6"/>
  <c r="F29" i="6"/>
  <c r="F28" i="6"/>
  <c r="AP27" i="6"/>
  <c r="AB27" i="6"/>
  <c r="T27" i="6"/>
  <c r="AT26" i="6"/>
  <c r="Z26" i="6"/>
  <c r="AT24" i="6"/>
  <c r="AJ24" i="6"/>
  <c r="N24" i="6"/>
  <c r="J10" i="6"/>
  <c r="R10" i="6"/>
  <c r="AF30" i="6"/>
  <c r="AT28" i="6"/>
  <c r="AJ28" i="6"/>
  <c r="AR27" i="6"/>
  <c r="AH27" i="6"/>
  <c r="X27" i="6"/>
  <c r="F27" i="6"/>
  <c r="AJ26" i="6"/>
  <c r="F26" i="6"/>
  <c r="H25" i="6"/>
  <c r="AF24" i="6"/>
  <c r="AB24" i="6"/>
  <c r="X24" i="6"/>
  <c r="T24" i="6"/>
  <c r="F24" i="6"/>
  <c r="N20" i="6"/>
  <c r="AT27" i="6"/>
  <c r="AJ27" i="6"/>
  <c r="AR26" i="6"/>
  <c r="AR24" i="6"/>
  <c r="AH24" i="6"/>
  <c r="Z24" i="6"/>
  <c r="V24" i="6"/>
  <c r="H24" i="2" l="1"/>
  <c r="H20" i="2"/>
  <c r="G36" i="3"/>
  <c r="H36" i="3" s="1"/>
  <c r="AB220" i="6"/>
  <c r="G49" i="3" s="1"/>
  <c r="H49" i="3" s="1"/>
  <c r="AJ220" i="6"/>
  <c r="G41" i="3" s="1"/>
  <c r="H41" i="3" s="1"/>
  <c r="AP220" i="6"/>
  <c r="G44" i="3" s="1"/>
  <c r="H44" i="3" s="1"/>
  <c r="AT220" i="6"/>
  <c r="AR220" i="6"/>
  <c r="G35" i="3" s="1"/>
  <c r="H35" i="3" s="1"/>
  <c r="AH220" i="6"/>
  <c r="G40" i="3" s="1"/>
  <c r="H40" i="3" s="1"/>
  <c r="AF220" i="6"/>
  <c r="G30" i="3" s="1"/>
  <c r="X220" i="6"/>
  <c r="Z220" i="6"/>
  <c r="G46" i="3" s="1"/>
  <c r="L220" i="6"/>
  <c r="G20" i="3" s="1"/>
  <c r="H20" i="3" s="1"/>
  <c r="Q193" i="6"/>
  <c r="R193" i="6" s="1"/>
  <c r="S193" i="6" s="1"/>
  <c r="T193" i="6" s="1"/>
  <c r="U193" i="6" s="1"/>
  <c r="V193" i="6" s="1"/>
  <c r="F220" i="6"/>
  <c r="G17" i="3" s="1"/>
  <c r="H17" i="3" s="1"/>
  <c r="H205" i="6"/>
  <c r="H220" i="6" s="1"/>
  <c r="G18" i="3" s="1"/>
  <c r="H18" i="3" s="1"/>
  <c r="H46" i="3" l="1"/>
  <c r="G25" i="3"/>
  <c r="H25" i="3" s="1"/>
  <c r="I205" i="6"/>
  <c r="M205" i="6" l="1"/>
  <c r="N205" i="6" s="1"/>
  <c r="J205" i="6"/>
  <c r="J220" i="6" s="1"/>
  <c r="G19" i="3" s="1"/>
  <c r="H19" i="3" s="1"/>
  <c r="Q205" i="6" l="1"/>
  <c r="N220" i="6"/>
  <c r="G21" i="3" s="1"/>
  <c r="H21" i="3" s="1"/>
  <c r="R205" i="6" l="1"/>
  <c r="R220" i="6" s="1"/>
  <c r="G23" i="3" s="1"/>
  <c r="H23" i="3" s="1"/>
  <c r="S205" i="6" l="1"/>
  <c r="T205" i="6" s="1"/>
  <c r="U205" i="6" l="1"/>
  <c r="V205" i="6" s="1"/>
  <c r="T220" i="6"/>
  <c r="G24" i="3" s="1"/>
  <c r="H24" i="3" s="1"/>
  <c r="V220" i="6" l="1"/>
  <c r="G45" i="3" s="1"/>
  <c r="H45" i="3" s="1"/>
  <c r="E57" i="4"/>
  <c r="H95" i="2"/>
  <c r="H44" i="2"/>
  <c r="G38" i="8"/>
  <c r="I38" i="8" s="1"/>
  <c r="I41" i="8" s="1"/>
  <c r="F279" i="2" s="1"/>
  <c r="H83" i="2"/>
  <c r="H43" i="2"/>
  <c r="H142" i="2" l="1"/>
  <c r="F30" i="3"/>
  <c r="H30" i="3" s="1"/>
  <c r="H191" i="2"/>
  <c r="H269" i="2" s="1"/>
  <c r="F280" i="2"/>
  <c r="H280" i="2" s="1"/>
  <c r="I269" i="2" l="1"/>
  <c r="F27" i="4"/>
  <c r="I142" i="2"/>
  <c r="F26" i="4"/>
  <c r="H270" i="2"/>
  <c r="I270" i="2" s="1"/>
  <c r="H144" i="2"/>
  <c r="I144" i="2" s="1"/>
  <c r="G60" i="3"/>
  <c r="H60" i="3" s="1"/>
  <c r="H271" i="2"/>
  <c r="I271" i="2" s="1"/>
  <c r="H143" i="2"/>
  <c r="I143" i="2" s="1"/>
  <c r="I146" i="2" l="1"/>
  <c r="I273" i="2"/>
  <c r="H145" i="2"/>
  <c r="H272" i="2"/>
  <c r="G273" i="2" s="1"/>
  <c r="H281" i="2" l="1"/>
  <c r="I39" i="4"/>
  <c r="G282" i="2"/>
  <c r="H282" i="2" s="1"/>
  <c r="D40" i="1"/>
  <c r="G146" i="2"/>
  <c r="D39" i="1" s="1"/>
  <c r="E39" i="4"/>
  <c r="H284" i="2" l="1"/>
  <c r="K284" i="2" s="1"/>
  <c r="K39" i="4"/>
  <c r="H39" i="4"/>
  <c r="D39" i="4"/>
  <c r="G39" i="4"/>
  <c r="J39" i="4"/>
  <c r="F39" i="4"/>
  <c r="L39" i="4"/>
  <c r="I27" i="4"/>
  <c r="F28" i="4" l="1"/>
  <c r="J40" i="4" s="1"/>
  <c r="I284" i="2"/>
  <c r="H286" i="2"/>
  <c r="I286" i="2" s="1"/>
  <c r="F29" i="4" s="1"/>
  <c r="K41" i="4" s="1"/>
  <c r="M39" i="4"/>
  <c r="H285" i="2"/>
  <c r="I285" i="2" s="1"/>
  <c r="F31" i="4" s="1"/>
  <c r="G59" i="3"/>
  <c r="H59" i="3" s="1"/>
  <c r="D38" i="4"/>
  <c r="L38" i="4"/>
  <c r="I26" i="4"/>
  <c r="F38" i="4"/>
  <c r="J38" i="4"/>
  <c r="K38" i="4"/>
  <c r="E38" i="4"/>
  <c r="G38" i="4"/>
  <c r="I38" i="4"/>
  <c r="H38" i="4"/>
  <c r="G62" i="3" l="1"/>
  <c r="H62" i="3" s="1"/>
  <c r="I288" i="2"/>
  <c r="G43" i="4"/>
  <c r="E40" i="4"/>
  <c r="G291" i="2"/>
  <c r="H287" i="2"/>
  <c r="L41" i="4"/>
  <c r="L40" i="4"/>
  <c r="G61" i="3"/>
  <c r="H61" i="3" s="1"/>
  <c r="I31" i="4"/>
  <c r="I28" i="4"/>
  <c r="E41" i="4"/>
  <c r="I41" i="4"/>
  <c r="I43" i="4"/>
  <c r="K40" i="4"/>
  <c r="D40" i="4"/>
  <c r="H41" i="4"/>
  <c r="G41" i="4"/>
  <c r="E43" i="4"/>
  <c r="D43" i="4"/>
  <c r="F43" i="4"/>
  <c r="H40" i="4"/>
  <c r="I40" i="4"/>
  <c r="F40" i="4"/>
  <c r="G40" i="4"/>
  <c r="F32" i="4"/>
  <c r="I32" i="4" s="1"/>
  <c r="F41" i="4"/>
  <c r="J41" i="4"/>
  <c r="I29" i="4"/>
  <c r="D41" i="4"/>
  <c r="H43" i="4"/>
  <c r="K43" i="4"/>
  <c r="J43" i="4"/>
  <c r="L43" i="4"/>
  <c r="M38" i="4"/>
  <c r="G288" i="2" l="1"/>
  <c r="D41" i="1" s="1"/>
  <c r="I287" i="2"/>
  <c r="K44" i="4"/>
  <c r="G63" i="3"/>
  <c r="H63" i="3" s="1"/>
  <c r="H64" i="3" s="1"/>
  <c r="L44" i="4"/>
  <c r="J44" i="4"/>
  <c r="H44" i="4"/>
  <c r="E44" i="4"/>
  <c r="D44" i="4"/>
  <c r="M43" i="4"/>
  <c r="F44" i="4"/>
  <c r="M40" i="4"/>
  <c r="I44" i="4"/>
  <c r="M41" i="4"/>
  <c r="G44" i="4"/>
  <c r="G292" i="2" l="1"/>
  <c r="I64" i="3"/>
  <c r="I66" i="3" s="1"/>
  <c r="AL3" i="5"/>
  <c r="AL4" i="5" s="1"/>
  <c r="AO4" i="5" s="1"/>
  <c r="C17" i="4"/>
  <c r="C18" i="4" s="1"/>
  <c r="L15" i="4" s="1"/>
  <c r="L4" i="4"/>
  <c r="T8" i="4" s="1"/>
  <c r="U8" i="4" s="1"/>
  <c r="M44" i="4"/>
  <c r="F298" i="2" l="1"/>
  <c r="L294" i="2"/>
  <c r="K292" i="2"/>
  <c r="J64" i="3"/>
  <c r="AP4" i="5"/>
  <c r="AQ4" i="5"/>
  <c r="AT4" i="5"/>
  <c r="AU4" i="5"/>
  <c r="AM4" i="5"/>
  <c r="Y8" i="4"/>
  <c r="AN4" i="5"/>
  <c r="Z8" i="4"/>
  <c r="AS4" i="5"/>
  <c r="AR4" i="5"/>
  <c r="W8" i="4"/>
  <c r="H15" i="4"/>
  <c r="I15" i="4"/>
  <c r="K15" i="4"/>
  <c r="G15" i="4"/>
  <c r="D15" i="4"/>
  <c r="F15" i="4"/>
  <c r="E15" i="4"/>
  <c r="J15" i="4"/>
  <c r="AF4" i="5"/>
  <c r="D43" i="1" l="1"/>
  <c r="D298" i="2"/>
  <c r="AV4" i="5"/>
  <c r="M15" i="4"/>
  <c r="AE4" i="5"/>
  <c r="AG4" i="5" l="1"/>
  <c r="AD4" i="5"/>
</calcChain>
</file>

<file path=xl/comments1.xml><?xml version="1.0" encoding="utf-8"?>
<comments xmlns="http://schemas.openxmlformats.org/spreadsheetml/2006/main">
  <authors>
    <author>Lincoln Edison Garcia Carvajal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Lincoln Edison Garcia Carvajal:</t>
        </r>
        <r>
          <rPr>
            <sz val="9"/>
            <color indexed="81"/>
            <rFont val="Tahoma"/>
            <family val="2"/>
          </rPr>
          <t xml:space="preserve">
AMPLIACIÓN RED ELÉCTRICA SITIO….
ELECTRIFICACIÓN DEL SITIO...</t>
        </r>
      </text>
    </comment>
  </commentList>
</comments>
</file>

<file path=xl/comments2.xml><?xml version="1.0" encoding="utf-8"?>
<comments xmlns="http://schemas.openxmlformats.org/spreadsheetml/2006/main">
  <authors>
    <author>Jhomara Jaramillo</author>
  </authors>
  <commentList>
    <comment ref="L3" authorId="0" shapeId="0">
      <text>
        <r>
          <rPr>
            <b/>
            <sz val="9"/>
            <color indexed="81"/>
            <rFont val="Tahoma"/>
            <family val="2"/>
          </rPr>
          <t>De acuerdo a la matriz de homologación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Viviendas con servicio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</rPr>
          <t>Viviendas sin servicio</t>
        </r>
      </text>
    </comment>
    <comment ref="AG3" authorId="0" shapeId="0">
      <text>
        <r>
          <rPr>
            <b/>
            <sz val="9"/>
            <color indexed="81"/>
            <rFont val="Tahoma"/>
            <family val="2"/>
          </rPr>
          <t xml:space="preserve"> Dato a reportar en el GPR</t>
        </r>
      </text>
    </comment>
  </commentList>
</comments>
</file>

<file path=xl/sharedStrings.xml><?xml version="1.0" encoding="utf-8"?>
<sst xmlns="http://schemas.openxmlformats.org/spreadsheetml/2006/main" count="3672" uniqueCount="1298">
  <si>
    <t>120/240</t>
  </si>
  <si>
    <t>Rural</t>
  </si>
  <si>
    <t>Distribución</t>
  </si>
  <si>
    <t>Nuevo</t>
  </si>
  <si>
    <t>Fecha:</t>
  </si>
  <si>
    <t>Urbano Marginal</t>
  </si>
  <si>
    <t>Subtransmisión</t>
  </si>
  <si>
    <t>Mejora</t>
  </si>
  <si>
    <t>Nombre del Proyecto:</t>
  </si>
  <si>
    <t>Subestaciones</t>
  </si>
  <si>
    <t>Fotovoltaicos</t>
  </si>
  <si>
    <t>CARACTERISTICAS GEOGRÁFICAS</t>
  </si>
  <si>
    <r>
      <t>34,5 KV-3</t>
    </r>
    <r>
      <rPr>
        <sz val="10"/>
        <rFont val="Symbol"/>
        <family val="1"/>
        <charset val="2"/>
      </rPr>
      <t>f</t>
    </r>
  </si>
  <si>
    <r>
      <t>34,5 KV-2</t>
    </r>
    <r>
      <rPr>
        <sz val="10"/>
        <rFont val="Symbol"/>
        <family val="1"/>
        <charset val="2"/>
      </rPr>
      <t>f</t>
    </r>
  </si>
  <si>
    <t>Preensamblada</t>
  </si>
  <si>
    <t>Cantón:</t>
  </si>
  <si>
    <r>
      <t>19,9 KV-</t>
    </r>
    <r>
      <rPr>
        <sz val="10"/>
        <rFont val="Symbol"/>
        <family val="1"/>
        <charset val="2"/>
      </rPr>
      <t>f</t>
    </r>
  </si>
  <si>
    <t>Convencional</t>
  </si>
  <si>
    <t>Parroquia:</t>
  </si>
  <si>
    <t>Coordenadas UTM en X:</t>
  </si>
  <si>
    <r>
      <t>13,8 KV-3</t>
    </r>
    <r>
      <rPr>
        <sz val="10"/>
        <rFont val="Symbol"/>
        <family val="1"/>
        <charset val="2"/>
      </rPr>
      <t>f</t>
    </r>
  </si>
  <si>
    <t>Área del proyecto:</t>
  </si>
  <si>
    <t>Coordenadas UTM en Y:</t>
  </si>
  <si>
    <r>
      <t>13,8 KV-2</t>
    </r>
    <r>
      <rPr>
        <sz val="10"/>
        <rFont val="Symbol"/>
        <family val="1"/>
        <charset val="2"/>
      </rPr>
      <t>f</t>
    </r>
  </si>
  <si>
    <t>Tipo de proyecto:</t>
  </si>
  <si>
    <r>
      <t>7,96 KV-</t>
    </r>
    <r>
      <rPr>
        <sz val="10"/>
        <rFont val="Symbol"/>
        <family val="1"/>
        <charset val="2"/>
      </rPr>
      <t>f</t>
    </r>
  </si>
  <si>
    <t>CARACTERISTICAS TECNICAS</t>
  </si>
  <si>
    <t>Tipo de Proyecto:</t>
  </si>
  <si>
    <t>Tipo de redes:</t>
  </si>
  <si>
    <t>Longitudes en Km</t>
  </si>
  <si>
    <t>Nivel de Voltaje</t>
  </si>
  <si>
    <t>Viviendas a servirse del proyecto</t>
  </si>
  <si>
    <t>Sin servicio (nuevas)</t>
  </si>
  <si>
    <t>Con servicio (existentes)</t>
  </si>
  <si>
    <t xml:space="preserve"> Otras ( Defina)</t>
  </si>
  <si>
    <t>Total de Viviendas</t>
  </si>
  <si>
    <t>Transformadores a instalarse en el proyecto</t>
  </si>
  <si>
    <t>Transformador 50 KVA:</t>
  </si>
  <si>
    <t>Transformador 10 KVA:</t>
  </si>
  <si>
    <t>Transformador 37,5 KVA:</t>
  </si>
  <si>
    <t>Transformador 5 KVA:</t>
  </si>
  <si>
    <t>Transformador 25 KVA:</t>
  </si>
  <si>
    <t>Transformador 15 KVA:</t>
  </si>
  <si>
    <t>KVA Totales:</t>
  </si>
  <si>
    <t>Otros materiales a instalarse en el proyecto</t>
  </si>
  <si>
    <t>Conductor AL-ACSR # 2/0</t>
  </si>
  <si>
    <t>Conductor Preensamblado AL</t>
  </si>
  <si>
    <t>Conductor AL-ACSR # 1/0</t>
  </si>
  <si>
    <t>Conductor AL-ACSR # 2</t>
  </si>
  <si>
    <t>No.- de Postes de hormigón</t>
  </si>
  <si>
    <t>CARACTERISTICAS ECONÓMICAS</t>
  </si>
  <si>
    <t>COSTO POR ABONADO</t>
  </si>
  <si>
    <t>PRESUPUESTO REDES DE DISTRIBUCIÓN</t>
  </si>
  <si>
    <t>UNIDAD</t>
  </si>
  <si>
    <t>CANTIDAD</t>
  </si>
  <si>
    <t>P/UNITARIO  MATERIALES</t>
  </si>
  <si>
    <t>P/UNITARIO MANO DE OBRA</t>
  </si>
  <si>
    <t xml:space="preserve">SUBTOTAL DE MATERIALES </t>
  </si>
  <si>
    <t>A</t>
  </si>
  <si>
    <t>CONDUCTORES</t>
  </si>
  <si>
    <t>CONDUCTOR DE ALUMINIO DESNUDO CABLEADO ACSR # 4 AWG</t>
  </si>
  <si>
    <t>Km</t>
  </si>
  <si>
    <t>CONDUCTOR DE ALUMINIO DESNUDO CABLEADO ACSR # 2 AWG</t>
  </si>
  <si>
    <t>CONDUCTOR DE ALUMINIO DESNUDO CABLEADO ACSR # 1/0 AWG</t>
  </si>
  <si>
    <t>CONDUCTOR DE ALUMINIO DESNUDO CABLEADO ACSR # 2/0 AWG</t>
  </si>
  <si>
    <t>CONDUCTOR DE ALUMINIO DESNUDO CABLEADO ACSR # 3/0 AWG</t>
  </si>
  <si>
    <t>CONDUCTOR DESNUDO CABLEADO ALUMINIO ASC No 4 AWG</t>
  </si>
  <si>
    <t>CONDUCTOR DESNUDO CABLEADO ALUMINIO ASC No 2 AWG</t>
  </si>
  <si>
    <t>CONDUCTOR DESNUDO CABLEADO ALUMINIO ASC No 1/0 AWG</t>
  </si>
  <si>
    <t>CONDUCTOR DESNUDO CABLEADO ALUMINIO ASC No 2/0 AWG</t>
  </si>
  <si>
    <t>CONDUCTOR DESNUDO CABLEADO ALUMINIO ASC No 3/0 AWG</t>
  </si>
  <si>
    <t>CABLE PREENSAMBLADO 2X1/0 + 1X2, 600V</t>
  </si>
  <si>
    <t>CABLE PREENSAMBLADO 2X35+1X50, 600V</t>
  </si>
  <si>
    <t>CABLE PREENSAMBLADO 2X50+1X50, 600V</t>
  </si>
  <si>
    <t>2</t>
  </si>
  <si>
    <t>POSTES</t>
  </si>
  <si>
    <t>POSTE HORMIGON ARMADO CIRCULAR 9 M X 350 KG</t>
  </si>
  <si>
    <t>u</t>
  </si>
  <si>
    <t>POSTE HORMIGON ARMADO CIRCULAR 9 M X 500 KG</t>
  </si>
  <si>
    <t>POSTE HORMIGON ARMADO CIRCULAR 11 M X 350 KG</t>
  </si>
  <si>
    <t>POSTE HORMIGON ARMADO CIRCULAR 11 M X 500 KG</t>
  </si>
  <si>
    <t>POSTE HORMIGON ARMADO CIRCULAR 12 M X 500 KG</t>
  </si>
  <si>
    <t>3</t>
  </si>
  <si>
    <t>3.3</t>
  </si>
  <si>
    <t>ESTRUCTURAS MONOFASICAS 7,9KV</t>
  </si>
  <si>
    <t>ESTRUCTURA UR</t>
  </si>
  <si>
    <t>ESTRUCTURA UR2 (2UR+1UP)</t>
  </si>
  <si>
    <t>ESTRUCTURA UP</t>
  </si>
  <si>
    <t>ESTRUCTURA UA</t>
  </si>
  <si>
    <t>ESTRUCTURAS MONOFASICAS 19,9KV</t>
  </si>
  <si>
    <t>ESTRUCTURAS TRIFASICAS 13,8KV</t>
  </si>
  <si>
    <t>ESTRUCTURA SC</t>
  </si>
  <si>
    <t>ESTRUCTURA RC</t>
  </si>
  <si>
    <t>ESTRUCTURA AC</t>
  </si>
  <si>
    <t>ESTRUCTURA SV</t>
  </si>
  <si>
    <t>ESTRUCTURA RV</t>
  </si>
  <si>
    <t>ESTRUCTURA AV</t>
  </si>
  <si>
    <t>ESTRUCTURA RRV</t>
  </si>
  <si>
    <t>ESTRUCTURA RRC</t>
  </si>
  <si>
    <t>ESTRUCTURA BA</t>
  </si>
  <si>
    <t>ESTRUCTURA HRR</t>
  </si>
  <si>
    <t>3.4</t>
  </si>
  <si>
    <t>ESTRUCTURAS TRIFASICAS 34,5KV</t>
  </si>
  <si>
    <t>3.5</t>
  </si>
  <si>
    <t>ESTRUCTURAS BAJA TENSION RED CONVENSIONAL</t>
  </si>
  <si>
    <t>ESTRUCTURA E1 (DS1 - DR1)</t>
  </si>
  <si>
    <t>ESTRUCTURA E2 (DR2)</t>
  </si>
  <si>
    <t>ESTRUCTURAS BAJA TENSION RED PREENSAMBLADA</t>
  </si>
  <si>
    <t>ESTRUCTURA EMPALME (3 CONECTORES + 6 PRECINTOS)</t>
  </si>
  <si>
    <t>4</t>
  </si>
  <si>
    <t>TENSORES</t>
  </si>
  <si>
    <t>ESTRUCTURA TT DOBLE</t>
  </si>
  <si>
    <t>ESTRUCTURA TT-MT SIMPLE</t>
  </si>
  <si>
    <t>ESTRUCTURA TT-BT SIMPLE</t>
  </si>
  <si>
    <t>ESTRUCTURA  TF-MT</t>
  </si>
  <si>
    <t>ESTRUCTURA  TF-BT</t>
  </si>
  <si>
    <t>5</t>
  </si>
  <si>
    <t>PROTECCIONES</t>
  </si>
  <si>
    <t>CAJA PORTAFUSIBLE TIPO ABIERTA 100 AMP. 15 KV</t>
  </si>
  <si>
    <t>CAJA PORTAFUSIBLE TIPO ABIERTA 100 AMP. 38 KV</t>
  </si>
  <si>
    <t>6</t>
  </si>
  <si>
    <t>PUESTA TIERRA (VARILLA CON CONECTOR, CU DESNUDO)</t>
  </si>
  <si>
    <t>ACCESORIOS MONTAJE TRANSFORMADOR RED ABIERTA</t>
  </si>
  <si>
    <t>ACCESORIOS MONTAJE TRANSFORMADOR RED PREENSAMBLADA</t>
  </si>
  <si>
    <t>7</t>
  </si>
  <si>
    <t>LUMINARIAS</t>
  </si>
  <si>
    <t>LUMINARIAS 100W-240V</t>
  </si>
  <si>
    <t>LUMINARIAS 150W-240V</t>
  </si>
  <si>
    <t>8</t>
  </si>
  <si>
    <t>TRANSFORMADORES DISTRIBUCIÓN AUTOPROTEGIDOS</t>
  </si>
  <si>
    <t>8,1</t>
  </si>
  <si>
    <t xml:space="preserve">VOLTAJE 13,8/7,97KV-240/120V </t>
  </si>
  <si>
    <t xml:space="preserve">MONOFÁSICO AUTOPROTEGIDO 50 KVA </t>
  </si>
  <si>
    <t>MONOFÁSICO AUTOPROTEGIDO 37,5 KVA</t>
  </si>
  <si>
    <t>MONOFÁSICO AUTOPROTEGIDO 25 KVA</t>
  </si>
  <si>
    <t>MONOFÁSICO AUTOPROTEGIDO 15 KVA</t>
  </si>
  <si>
    <t>MONOFÁSICO AUTOPROTEGIDO 10 KVA</t>
  </si>
  <si>
    <t>MONOFÁSICO AUTOPROTEGIDO 5 KVA</t>
  </si>
  <si>
    <t>MONOFÁSICO AUTOPROTEGIDO 3 KVA</t>
  </si>
  <si>
    <t>8,2</t>
  </si>
  <si>
    <t xml:space="preserve">VOLTAJE 34,5/19,9KV-240/120V </t>
  </si>
  <si>
    <t xml:space="preserve">MONOFÁSICO AUTOPROTEGIDO 37,5 KVA </t>
  </si>
  <si>
    <t>MONOFÁSICO AUTOPROTEGIDO 25KVA</t>
  </si>
  <si>
    <t>9</t>
  </si>
  <si>
    <t>OTROS RUBROS DE MANO DE OBRA EN LÍNEAS Y REDES</t>
  </si>
  <si>
    <t xml:space="preserve">CARGA, TRANSPORTE Y DESCARGA DE POSTES DE H.A. 9 A 12 M </t>
  </si>
  <si>
    <t>EXCAVACION PARA POSTES O ANCLAS TERRENO DURO</t>
  </si>
  <si>
    <t xml:space="preserve">IZADO DE POSTE DE H.A. DE 9 A 12M CON GRUA </t>
  </si>
  <si>
    <t>10</t>
  </si>
  <si>
    <t>MANO DE OBRA ADICIONAL PARA LINEAS Y REDES</t>
  </si>
  <si>
    <t xml:space="preserve">RETIRO DE POSTE DE H.A. DE 9 A 12M CON GRUA </t>
  </si>
  <si>
    <t>RETIRO DE POSTE DE H.A. DE 9 A 12M A MANO</t>
  </si>
  <si>
    <t xml:space="preserve">APLOMADA DE POSTE DE H.A. DE 9 A 12M </t>
  </si>
  <si>
    <t>DESMONTAJE TOTAL DE TRANSFORM. MONOFASICOS A MANO ( HASTA 75 KVA)</t>
  </si>
  <si>
    <t>DESMONTAJE CONDUCTOR DESNUDO ALUMINIO ASC No 4 AWG</t>
  </si>
  <si>
    <t>DESMONTAJE CONDUCTOR DESNUDO ALUMINIO ASC No 2 AWG</t>
  </si>
  <si>
    <t>DESMONTAJE CONDUCTOR ACSR # 4 AWG.</t>
  </si>
  <si>
    <t>DESMONTAJE CONDUCTOR ACSR # 2 AWG.</t>
  </si>
  <si>
    <t>DESMONTAJE CONDUCTOR ACSR # 1/0 AWG.</t>
  </si>
  <si>
    <t>DESMONTAJE CONDUCTOR ACSR # 2/0 AWG.</t>
  </si>
  <si>
    <t>DESMONTAJE CONDUCTOR ACSR # 3/0 AWG.</t>
  </si>
  <si>
    <t>DESMONTAJE CABLE PREENSAMBLADO  4 CONDUCTORES</t>
  </si>
  <si>
    <t>DESMONTAJE CABLE PREENSAMBLADO 3 CONDUCTORES</t>
  </si>
  <si>
    <t>DESMONTAJE CABLE PREENSAMBLADO 2 CONDUCTORES</t>
  </si>
  <si>
    <t>DESMONTAJE ESTRUCTURA UP</t>
  </si>
  <si>
    <t>DESMONTAJE ESTRUCTURA UP2 ( 5 A 30° )</t>
  </si>
  <si>
    <t>DESMONTAJE ESTRUCTURA UR</t>
  </si>
  <si>
    <t>DESMONTAJE ESTRUCTURA UR2</t>
  </si>
  <si>
    <t>DESMONTAJE ESTRUCTURA UA</t>
  </si>
  <si>
    <t>DESMONTAJE ESTRUCTURA SC</t>
  </si>
  <si>
    <t>DESMONTAJE ESTRUCTURA RC</t>
  </si>
  <si>
    <t>DESMONTAJE ESTRUCTURA AC</t>
  </si>
  <si>
    <t>DESMONTAJE ESTRUCTURA SV</t>
  </si>
  <si>
    <t>DESMONTAJE ESTRUCTURA RV</t>
  </si>
  <si>
    <t>DESMONTAJE ESTRUCTURA AV</t>
  </si>
  <si>
    <t>DESMONTAJE ESTRUCTURA RRV</t>
  </si>
  <si>
    <t>DESMONTAJE ESTRUCTURA RRC</t>
  </si>
  <si>
    <t>DESMONTAJE ESTRUCTURA BA</t>
  </si>
  <si>
    <t>DESMONTAJE ESTRUCTURA HRR</t>
  </si>
  <si>
    <t>DESMONTAJE ESTRUCTURA E1 (DS1 - DR1)</t>
  </si>
  <si>
    <t>DESMONTAJE ESTRUCTURA E2 (DR2)</t>
  </si>
  <si>
    <t>DESMONTAJE ESTRUCTURA red preemsamblada tipo suspension (DSA O ST)</t>
  </si>
  <si>
    <t>DESMONTAJE ESTRUCTURA red preemsamblada tipo retencion (DTA O RT)</t>
  </si>
  <si>
    <t>DESMONTAJEESTRUCTURA EMPALME (3 CONECTORES + 6 PRECINTOS)</t>
  </si>
  <si>
    <t>DESMONTAJE DE LUMINARIAS</t>
  </si>
  <si>
    <t>DESMONTAJE DE SECCIONADORES</t>
  </si>
  <si>
    <t>DESMONTAJE DE ANCLA Y CABLE TENSOR SIMPLE</t>
  </si>
  <si>
    <t>DESMONTAJE DE ANCLA Y CABLE TENSOR DOBLE</t>
  </si>
  <si>
    <t>B</t>
  </si>
  <si>
    <t>ACOMETIDAS Y MEDIDORES</t>
  </si>
  <si>
    <t>MEDIDORES</t>
  </si>
  <si>
    <t>11</t>
  </si>
  <si>
    <t>ACOMETIDAS</t>
  </si>
  <si>
    <t>CONDUCTOR DUPLEX ASC 2 X 6 AWG, 600V, XLPE</t>
  </si>
  <si>
    <t>m</t>
  </si>
  <si>
    <t>CONDUCTOR TRIPLEX ASC 3 X 6 AWG, 600 V, PE</t>
  </si>
  <si>
    <t>CONDUCTOR CONCENTRICO DE ALUMINIO, 600V, 1X6+1X6 AWG</t>
  </si>
  <si>
    <t>CONDUCTOR CONCENTRICO DE ALUMINIO, 600V, 2X6+1X6 AWG</t>
  </si>
  <si>
    <t>12</t>
  </si>
  <si>
    <t>ACCESORIOS ACOMETIDAS REDES PREENSAMBLADAS</t>
  </si>
  <si>
    <t>13</t>
  </si>
  <si>
    <t>MANO DE OBRA DE ACOMETIDAS Y MEDIDORES</t>
  </si>
  <si>
    <t>SI CALIFICA/NO CALIFICA</t>
  </si>
  <si>
    <t>USD/VIVIENDA</t>
  </si>
  <si>
    <t>Total  viviendas</t>
  </si>
  <si>
    <t xml:space="preserve">CUADRO DE TEXTO QUE PERMITA JUSTIFICAR LA NO CALIFICACIÓN DEL PROYECTO ( SI ESTE SUPERA LOS TECHOS ESTABLECIDOS) </t>
  </si>
  <si>
    <t>Elaborado por:</t>
  </si>
  <si>
    <t>Revisado por:</t>
  </si>
  <si>
    <t>Aprobado por:</t>
  </si>
  <si>
    <t>COSTOS DE ESTRUCTURAS CON RESPECTO A LOS PRECIOS DE LOS MATERIALES HOMOLOGADOS CNEL MATRIZ FERUM  2010 CONSOLIDADO</t>
  </si>
  <si>
    <t>INFLACION PROYECTADA A DICIEMBRE DEL 2010</t>
  </si>
  <si>
    <t>ESTRUCTURAS MONOFASICAS 13,8/7,9</t>
  </si>
  <si>
    <t>ESTRUCTURAS EN BAJA TENSION REDES PREENSAMBLADAS</t>
  </si>
  <si>
    <t>ÍTEM</t>
  </si>
  <si>
    <t>PRECIO UNITARIO SIN IVA</t>
  </si>
  <si>
    <t>ESTRUCTURA TTM SIMPLE</t>
  </si>
  <si>
    <t>ESTRUCTURA TTB SIMPLE</t>
  </si>
  <si>
    <t>ESTRUCTURA  TFM</t>
  </si>
  <si>
    <t>ESTRUCTURA  TFB</t>
  </si>
  <si>
    <t>PORTAFUSIBLE 7,62 KV</t>
  </si>
  <si>
    <t>ESTRUCTURA P</t>
  </si>
  <si>
    <t>ESTRUCTURA
EMPALME</t>
  </si>
  <si>
    <t>ESTRUCTURA KIT
 DE INSTALACION DE ACOMETIDA 240V</t>
  </si>
  <si>
    <t>ACCESORIOS PARA 
TRANSFORMADOR RED PREENSAMBLADA</t>
  </si>
  <si>
    <t>COSTO</t>
  </si>
  <si>
    <t>COSTO TOTAL</t>
  </si>
  <si>
    <t>TRANSFORMADORES DE DISTRIBUCION</t>
  </si>
  <si>
    <t>c/u</t>
  </si>
  <si>
    <t>EQUIPOS DE PROTECCION Y SECCIONAMIENTO</t>
  </si>
  <si>
    <t>EQUIPOS DE ALUMBRADO PUBLICO</t>
  </si>
  <si>
    <t>AISLADORES</t>
  </si>
  <si>
    <t>AISLADOR TIPO ROLLO DE PORCELANA ANSI 53-2</t>
  </si>
  <si>
    <t>AISLADOR DE RETENCION DE PORCELANA ANSI 54-3</t>
  </si>
  <si>
    <t>CONDUCTORES DESNUDOS</t>
  </si>
  <si>
    <t>CABLE ACERO GALVANIZADO DIAMETRO 3/8"</t>
  </si>
  <si>
    <t>CONDUCTORES AISLADOS Y ACCESORIOS</t>
  </si>
  <si>
    <t>CONDUCTOR DE COBRE AISLADO TW, 600 V, #1/0 AWG</t>
  </si>
  <si>
    <t>ACCESORIOS PARA CONDUCTORES</t>
  </si>
  <si>
    <t>AMORTIGUADOR DE VIBRACION PREFORMADO CONDUCTOR ACSR 2</t>
  </si>
  <si>
    <t>AMORTIGUADOR DE VIBRACION PREFORMADO CONDUCTOR ACSR 1/0</t>
  </si>
  <si>
    <t>MATERIAL PARA CONEXIÓN A TIERRA</t>
  </si>
  <si>
    <t>HERRAJES GALVANIZADOS</t>
  </si>
  <si>
    <t>PERNO ESPARRAGO (ROSCA CORRIDA) GALVANIZADO 5/8" X 10"</t>
  </si>
  <si>
    <t>PERNO ESPARRAGO (ROSCA CORRIDA) GALVANIZADO 5/8" X 18"</t>
  </si>
  <si>
    <t>PERNO DE OJO GALVANIZADO 5/8" X 8"</t>
  </si>
  <si>
    <t>PERNO DE OJO GALVANIZADO 5/8" X 12"</t>
  </si>
  <si>
    <t>PERNO DE OJO GALVANIZADO ROSCA CORRIDA 5/8" X 12"</t>
  </si>
  <si>
    <t>PERNO DE OJO GALVANIZADO ROSCA CORRIDA 5/8" X 18"</t>
  </si>
  <si>
    <t>PERNO PIN GALV TOPE POSTE SIMPLE 19X25X450 MM</t>
  </si>
  <si>
    <t>PERNO PIN GALV TOPE POSTE DOBLE 19X25X450 MM</t>
  </si>
  <si>
    <t>ABRAZADERA PLETINA GALV 6 1/2", REFORZADA PARA TRANSFORMADOR</t>
  </si>
  <si>
    <t>ABRAZADERA GALVANIZADA PERNO "U" 5/8" X 12"</t>
  </si>
  <si>
    <t>VARILLA DE ANCLAJE GALVANIZADA 5/8" X 6' (1.8 M)</t>
  </si>
  <si>
    <t>ESPIGA PIN PUNTA DE POSTE DOBLE CON ABRAZADERA EN VARILLA DE 3/4", ROSCA PLOMO 1"</t>
  </si>
  <si>
    <t>BRAZO PARA LUMINARIA DE HIERRO GALVANIZADO 2" X 1.5 M</t>
  </si>
  <si>
    <t>BRAZO PARA LUMINARIA DE HIERRO GALVANIZADO 2" X 2 M</t>
  </si>
  <si>
    <t>CONECTOR RANURA PARALELA CU-AL HASTA 1/0 AWG</t>
  </si>
  <si>
    <t>CONECTOR RANURA PARALELA CU-AL HASTA 2/0 AWG</t>
  </si>
  <si>
    <t>CONECTOR RANURA PARALELA CU-AL HASTA 3/0 AWG</t>
  </si>
  <si>
    <t>CONECTOR RANURA PARALELA CU-AL HASTA 4/0 AWG</t>
  </si>
  <si>
    <t>CONECTOR PERNO PARTIDO CU-AL HASTA 2 AWG</t>
  </si>
  <si>
    <t>CONECTOR PERNO PARTIDO CU-AL HASTA 1/0 AWG</t>
  </si>
  <si>
    <t>CONECTOR PERNO PARTIDO CU-AL HASTA 2/0 AWG</t>
  </si>
  <si>
    <t>CONECTOR PERNO PARTIDO CU-AL HASTA 3/0 AWG</t>
  </si>
  <si>
    <t>CONECTOR PERNO PARTIDO CU-AL HASTA 4/0 AWG</t>
  </si>
  <si>
    <t>BASTIDOR GALVANIZADO LIVIANO 1 VIA (SIN BASE)</t>
  </si>
  <si>
    <t>BASTIDOR GALVANIZADO LIVIANO 2 VIAS</t>
  </si>
  <si>
    <t>BASTIDOR GALVANIZADO LIVIANO 3 VIAS</t>
  </si>
  <si>
    <t>BASTIDOR GALVANIZADO LIVIANO 4 VIAS</t>
  </si>
  <si>
    <t>PIE DE AMIGO PLETINA GALVANIZADO 1 1/2" X 3/16" X 0.8 M</t>
  </si>
  <si>
    <t>PIE DE AMIGO ANGULO GALVANIZADO 1 1/2" X 1 1/2" X 1/4" X 2 M</t>
  </si>
  <si>
    <t>PIE DE AMIGO ANGULO GALVANIZADO 2" X 2" X 3/16" X 1.2 M</t>
  </si>
  <si>
    <t>ANGULO PIE AMIGO-CRUC. EN VOLAD "L" 2"X2"X1/4X2.0</t>
  </si>
  <si>
    <t>PLETINA DE UNIÓN 75X9 X423 MM</t>
  </si>
  <si>
    <t>PLETINA DE UNION GALVANIZADA DE 75X6X400 MM</t>
  </si>
  <si>
    <t>PLETINA DE UNION GALVANIZADA DE 75X6X450 MM</t>
  </si>
  <si>
    <t>GRAPA RETENCION TERMINAL AL, TIPO PISTOLA 90°, 4-2/0 AWG 2 PERNOS</t>
  </si>
  <si>
    <t>GRAPA TERMINAL APERNADA DE AL. RECTA Nº 6 -2/0 AWG</t>
  </si>
  <si>
    <t>GRAPA TERMINAL CONDUCTOR #  1/0-266.8 MCM</t>
  </si>
  <si>
    <t>GRAPA ANGULAR AL, 4-2/0 AWG 1 PERNO</t>
  </si>
  <si>
    <t>GRAPA ANGULAR PARA  25000 LBS</t>
  </si>
  <si>
    <t>GRAPA LINEA ENERGIZADA AL-CU 8-4/0 AWG</t>
  </si>
  <si>
    <t>GRAPA LINEA ENERGIZADA AL-CU 8-2/0 AWG</t>
  </si>
  <si>
    <t>GRAPA MORDAZA GALVANIZADA PARA CABLE DE ACERO 5/8", 3 PERNOS</t>
  </si>
  <si>
    <t>GRAPA MORDAZA GALVANIZADA DESCENTRADA 2 PERNOS PARA CABLE TENSOR DE 3/8"</t>
  </si>
  <si>
    <t>MISCELANEOS</t>
  </si>
  <si>
    <t>GUARDACABO TIPO HORQUILLA GALVANIZADO 3/8", PESADO</t>
  </si>
  <si>
    <t>BRAZO GALVANIZADO PARA TENSOR FAROL (ESTRUCTURA) 2" X 1.2 M</t>
  </si>
  <si>
    <t>REDES PREENSAMBLADAS</t>
  </si>
  <si>
    <r>
      <t xml:space="preserve">KIT PARA RETENCIÓN </t>
    </r>
    <r>
      <rPr>
        <b/>
        <sz val="10"/>
        <color indexed="8"/>
        <rFont val="Calibri"/>
        <family val="2"/>
      </rPr>
      <t>(INCLUYE PINZA DE RETENCION Y TUERCA DE OJO)</t>
    </r>
  </si>
  <si>
    <r>
      <t>KIT PARA SUSPENCIÓN</t>
    </r>
    <r>
      <rPr>
        <b/>
        <sz val="10"/>
        <color indexed="8"/>
        <rFont val="Calibri"/>
        <family val="2"/>
      </rPr>
      <t xml:space="preserve"> (INCLUYE PINZA DE SUSPENSION Y MENSULA DE SUSPENSION)</t>
    </r>
  </si>
  <si>
    <t>FUSIBLE NEOZED 35A (IFN35)</t>
  </si>
  <si>
    <t>FUSIBLE NEOZED 63A (IFN63)</t>
  </si>
  <si>
    <t>TENSOR MECÁNICO OJO GRILLETE</t>
  </si>
  <si>
    <t>CONECTOR RANURA PARALELA DOBLE DENTADO,HERMETICO, CABLE AL/CU AISLADO 4-3/0 AWG Y 14-8 AWG TUERCA FUSIBLE</t>
  </si>
  <si>
    <t>CONECTOR RANURA PARALELA DOBLE DENTADO,HERMETICO, CABLE AL/CU AISLADO 4-3/0 AWG Y 4-3/0 AWG TUERCA FUSIBLE</t>
  </si>
  <si>
    <t>PINZA RETENCION AUTO AJUSTABLE PARA NEUTRO PORTANTE Nº 1/0 AWG (50 MM2)</t>
  </si>
  <si>
    <t>PINZA RETENCION AUTO AJUSTABLE PARA NEUTRO PORTANTE Nº 2/0 AWG (70 MM2), 1500 KG</t>
  </si>
  <si>
    <t>PINZA SUSPENSION AUTO AJUSTABLE PARA NEUTRO PORTANTE Nº 1/0 AWG (50 MM2)</t>
  </si>
  <si>
    <t>PINZA SUSPENSION AUTO AJUSTABLE PARA NEUTRO PORTANTE Nº 2/0 AWG (70 MM2)</t>
  </si>
  <si>
    <t>EMPALME DE COMPRENSION TUBULAR AL # 8 AWG (ASC8TN)</t>
  </si>
  <si>
    <t>EMPALME DE COMPRENSION TUBULAR AL # 6 AWG (ASC6TN)</t>
  </si>
  <si>
    <t>EMPALME DE COMPRENSION TUBULAR AL # 4 AWG (ASC4TN)</t>
  </si>
  <si>
    <t>MENSULA PLASTICA OJAL DE ACOMETIDA PARA POSTE</t>
  </si>
  <si>
    <t>MENSULA PLASTICA OJAL DE ACOMETIDA PARA FACHADA</t>
  </si>
  <si>
    <t>MENSULA DE SUSPENSION DE ALUMINIO PARA POSTE (DMS)</t>
  </si>
  <si>
    <t>MENSULA DE RETENCION ALUMINIO PARA POSTE (DMR)</t>
  </si>
  <si>
    <t>PRECINTO PLASTICO ANTI U.V DE AMARRE 8X280MM</t>
  </si>
  <si>
    <t>PRECINTO PLASTICO ANTI U.V DE AMARRE 8X350MM</t>
  </si>
  <si>
    <t>PROTECTOR PLASTICO P/ PUNTA DE CABLE DE  25MM2 DE SECCION (PC25)</t>
  </si>
  <si>
    <t>PROTECTOR P/ PUNTA DE CABLE DE SECCION 50MM2 (#1/0*AWG)(PC50)</t>
  </si>
  <si>
    <t>PROTECTOR PLASTICO P/ PUNTA DE CABLE DE  52MM2 DE SECCION (PC52)</t>
  </si>
  <si>
    <t>PORTAFUSIBLE AEREO ENCAPSULADO, HASTA 63A (ACOMETIDA B.T)</t>
  </si>
  <si>
    <t>EMPALME TUBULAR PREAISLADO P/COMPRESION P/CABLE CU/AL DE SECCION 25MM2</t>
  </si>
  <si>
    <t>EMPALME TUBULAR PREAISLADO P/COMPRESION P/CABLE CU/AL DE SECCION 50MM2</t>
  </si>
  <si>
    <t>EMPALME TUBULAR PREAISLADO P/COMPRESION P/CABLE CU/AL DE SECCION 52MM2 (DPB52)</t>
  </si>
  <si>
    <t>EMPALME PREAISLADO PARA NEUTRO 54MM2</t>
  </si>
  <si>
    <t>CONECTOR AISLADO SIMPLE DENTADO ABULONADO ESTANCO 10-95/1.5-10MM2 (DCNL-1)</t>
  </si>
  <si>
    <t>CONECTOR AISLADO DENTADO ABULONADO ESTANCO 16-95/4-35MM2 -DCNL-2</t>
  </si>
  <si>
    <t>CONECTOR AISLADO DENTADO ABULONADO ESTANCO 25-95/25-95MM2 -DCNL-3</t>
  </si>
  <si>
    <t>CONECTOR AISLADO DENTADO ABULONADO  ESTANCO RANGO 50-150/4-35MM2 (DCNL-4D)</t>
  </si>
  <si>
    <t>CONECTOR AISLADO DOBLE DENTADO ABULONADO ESTANCO 35-150/35-150MM2-DCNL-5</t>
  </si>
  <si>
    <t>CONECTOR AISLADO DENTADO ABULONADO ESTANCO P/ NEUTRO RANGO 50-70/4-6 MM2 (DP10)</t>
  </si>
  <si>
    <t>CONECTOR AISLADO DENTADO ABULONADO ESTANCO C/ PORTAFUSIBLE</t>
  </si>
  <si>
    <t>CONECTOR AISLADO DENTADO ABULONADO ESTANCO C/ PORTAFUSIBLE ORIENTABLE</t>
  </si>
  <si>
    <t xml:space="preserve">CONECTOR DOBLE DENTADO ABULÓN TIPO 1E </t>
  </si>
  <si>
    <t xml:space="preserve">CONECTOR DOBLE DENTADO ABULÓN TIPO 3E </t>
  </si>
  <si>
    <t xml:space="preserve">CONECTOR DOBLE DENTADO ABULÓN TIPO 5E </t>
  </si>
  <si>
    <t>DERIVADOR PLASTICO TIPO MONOFASICO P/ COND CONCENTRICO 25/25MM2 (DCC-R)</t>
  </si>
  <si>
    <t>CONECTOR DOBLE DENTADO C.TUERCA FUSIB.DP9</t>
  </si>
  <si>
    <t>CONECTOR DE COMPRESION YHO-100</t>
  </si>
  <si>
    <t>CONECTOR COMP.CU-AL.YHD-300</t>
  </si>
  <si>
    <r>
      <t xml:space="preserve">CINTA DE ACERO INOXIDABLE 0,7*20MM (ROTURA 800KG) </t>
    </r>
    <r>
      <rPr>
        <b/>
        <sz val="10"/>
        <color indexed="8"/>
        <rFont val="Calibri"/>
        <family val="2"/>
      </rPr>
      <t>CADA METRO</t>
    </r>
  </si>
  <si>
    <t>CABLE PREENSAMBLADO (2X3/0 ASC+ 1X3/0 AAAC) AWG, AISLADO XLPE, 600V</t>
  </si>
  <si>
    <t>CABLE PREENSAMBLADO (3X1/0 ASC+ 1X1/0 AAAC) AWG, AISLADO XLPE, 600V</t>
  </si>
  <si>
    <t>CABLE PREENSAMBLADO (2X1/0 ASC+ 1X1/0 AAAC) AWG, AISLADO XLPE, 600V</t>
  </si>
  <si>
    <t>CABLE PREENSAMBLADO (3X2/0 ASC+ 1X2/0 AAAC) AWG, AISLADO XLPE, 600V</t>
  </si>
  <si>
    <t>CABLE PREENSAMBLADO (2X2/0 ASC+ 1X1/0 AAAC) AWG, AISLADO XLPE, 600V</t>
  </si>
  <si>
    <t>CABLE PREENSAMBLADO (3X3/0 ASC+ 1X3/0 AAAC) AWG, AISLADO XLPE, 600V</t>
  </si>
  <si>
    <t>CABLE PREENSAMBLADO (2X3/0 ASC+ 1X1/0 AAAC) AWG, AISLADO XLPE, 600V</t>
  </si>
  <si>
    <t>CABLE PREENSAMBLADO 2X2 + 1X2, 600V</t>
  </si>
  <si>
    <t>MATERIALES NO INCLUIDOS EN EL LISTADO</t>
  </si>
  <si>
    <t>CONECTOR RANURA PARALELA CU-AL HASTA  2 -2/0 AWG</t>
  </si>
  <si>
    <t>TIRA FUSIBLE 3A</t>
  </si>
  <si>
    <t>CRUCETA PERFIL "L" 100X100X10X6MTS</t>
  </si>
  <si>
    <t>PLATINA PIE DE AMIGO 1,2</t>
  </si>
  <si>
    <t>AISLADOR DE SUSPENSION TIPO  DE PORCELANA ANSI 52-3</t>
  </si>
  <si>
    <t>GRILLETE PARA ANCLA DE ACERO 30-30 HT</t>
  </si>
  <si>
    <t>SOCKET PARA GRAPA DE RETENCION</t>
  </si>
  <si>
    <t>PERNO PIN 3/4"</t>
  </si>
  <si>
    <t>AISLADOR PIN 56-3</t>
  </si>
  <si>
    <t>EXTENSION PUNTA DE POSTE 70X70X40X500 mm</t>
  </si>
  <si>
    <t>SECCIONADOR DISTRIBUCION 1P PORTAFUSIBLE TIPO ABIERTO 38 KV 100 A, ESTANDAR</t>
  </si>
  <si>
    <t>TRANSFORMADOR 5 KVA, 1F CSP, 1B, 34500GRDY/19900-120/240V</t>
  </si>
  <si>
    <t>TRANSFORMADOR 10 KVA, 1F CSP, 1B, 34500GRDY/19900-120/240V</t>
  </si>
  <si>
    <t>TRANSFORMADOR 15 KVA, 1F CSP, 1B, 34500GRDY/19900-120/240V</t>
  </si>
  <si>
    <t>TRANSFORMADOR 25 KVA, 1F CSP, 1 B, 34500GRDY/19900-120/240V</t>
  </si>
  <si>
    <t>TRANSFORMADOR 37.5 KVA, 1F CSP, 1 B, 34500GRDY/19900-120/240V</t>
  </si>
  <si>
    <t>TRANSFORMADOR 50 KVA, 1F CSP, 1 B, 34500GRDY/19900-120/240V</t>
  </si>
  <si>
    <t>MEDIDOR MONOFÁSICO ELECTRONICO 1A-120V-100AMP</t>
  </si>
  <si>
    <t>CAJA DE PROTECCIÓN PARA ALOJAR MEDIDOR 1A</t>
  </si>
  <si>
    <t>CAJA DE PROTECCIÓN PARA ALOJAR MEDIDOR 2A</t>
  </si>
  <si>
    <t xml:space="preserve">COSTOS DE MANO DE OBRA PARA MATERIALES Y ESTRUCTURAS REDES DE DISTRIBUCIÓN </t>
  </si>
  <si>
    <t xml:space="preserve">LINEAS Y REDES </t>
  </si>
  <si>
    <t>CONDUCTORES (TENDIDO, REGULADO Y AMARRE)</t>
  </si>
  <si>
    <t>Los celdas que están sombreados de negro no debe tener ningún calculo ni valor</t>
  </si>
  <si>
    <t>Esta actividad no tiene rubro de precio unitario</t>
  </si>
  <si>
    <t>ESTRUCTURAS (MONTAJE)</t>
  </si>
  <si>
    <t>Este precio unitario lo estamos definiendo</t>
  </si>
  <si>
    <t>TENSORES (ENSAMBLAJE DE ANCLAS Y CABLE TENSOR)</t>
  </si>
  <si>
    <t>PROTECCIONES (MONTAJE)</t>
  </si>
  <si>
    <t>ACCESORIOS DE TRANSFORMADORES (MONTAJE)</t>
  </si>
  <si>
    <t>EQUIPO MEDICIÓN EN GENERAL (INCLUYE CAJA DE PROTECCION)</t>
  </si>
  <si>
    <r>
      <t xml:space="preserve">KIT DE ACOMETIDA PARA RED PREENSAMBLADA </t>
    </r>
    <r>
      <rPr>
        <sz val="10"/>
        <color indexed="8"/>
        <rFont val="Calibri"/>
        <family val="2"/>
      </rPr>
      <t>PARA 120 VOLTIOS</t>
    </r>
  </si>
  <si>
    <r>
      <t xml:space="preserve">KIT DE ACOMETIDA PARA RED PREENSAMBLADA </t>
    </r>
    <r>
      <rPr>
        <sz val="10"/>
        <color indexed="8"/>
        <rFont val="Calibri"/>
        <family val="2"/>
      </rPr>
      <t>PARA 240 VOLTIOS</t>
    </r>
  </si>
  <si>
    <t>USD REQUERIDOS</t>
  </si>
  <si>
    <t>TOTAL PRESUPUESTO DEL PROYECTO INCLUIDO IVA</t>
  </si>
  <si>
    <t>CONDUCTOR CONCENTRICO 2X6 + 6 AWG</t>
  </si>
  <si>
    <t>M</t>
  </si>
  <si>
    <t>MATERIALES</t>
  </si>
  <si>
    <t>OTROS</t>
  </si>
  <si>
    <t>7,96 KV-f</t>
  </si>
  <si>
    <t>Ing. Francis Morales Carrillo</t>
  </si>
  <si>
    <t>Ing. Lincoln García Carvajal</t>
  </si>
  <si>
    <t>Ing. Gheorgi Arteaga Campoverde</t>
  </si>
  <si>
    <t>BLOQUE DE ANCLAJE DE HORMIGON ARMADO 30 X 30 X 10 CM</t>
  </si>
  <si>
    <t>CONDUCTOR COBRE DESNUDO #2 AWG 19 HILOS</t>
  </si>
  <si>
    <t>POSTE HORMIGON ARMADO CIRCULAR 14 M X 500 KG</t>
  </si>
  <si>
    <t>POSTE HORMIGON ARMADO CIRCULAR 14 M X 700 KG</t>
  </si>
  <si>
    <r>
      <t xml:space="preserve">KIT DE ACOMETIDA PARA RED PREENSAMBLADA </t>
    </r>
    <r>
      <rPr>
        <b/>
        <sz val="10"/>
        <color indexed="8"/>
        <rFont val="Calibri"/>
        <family val="2"/>
      </rPr>
      <t>PARA 240 VOLTIOS</t>
    </r>
  </si>
  <si>
    <r>
      <t xml:space="preserve">KIT DE ACOMETIDA PARA RED PREENSAMBLADA </t>
    </r>
    <r>
      <rPr>
        <b/>
        <sz val="10"/>
        <color indexed="8"/>
        <rFont val="Calibri"/>
        <family val="2"/>
      </rPr>
      <t>PARA 120 VOLTIOS</t>
    </r>
  </si>
  <si>
    <t xml:space="preserve">DESBROCE CON ALTA VEGETACIÓN </t>
  </si>
  <si>
    <t xml:space="preserve">DESBROCE CON  POCA   VEGETACIÓN </t>
  </si>
  <si>
    <t>MONTAJE DE ANCLA PARA TENSOR</t>
  </si>
  <si>
    <t xml:space="preserve">DESBROCE CON  POCA VEGETACIÓN </t>
  </si>
  <si>
    <t>Preens-Conven</t>
  </si>
  <si>
    <t>Portoviejo</t>
  </si>
  <si>
    <t>Manta</t>
  </si>
  <si>
    <t>Montecristi</t>
  </si>
  <si>
    <t>Santa Ana</t>
  </si>
  <si>
    <t>Olmedo</t>
  </si>
  <si>
    <t>24 de Mayo</t>
  </si>
  <si>
    <t>Chone</t>
  </si>
  <si>
    <t>Pajan</t>
  </si>
  <si>
    <t>Puerto López</t>
  </si>
  <si>
    <t>Sucre</t>
  </si>
  <si>
    <t>San Vicente</t>
  </si>
  <si>
    <t>Jipijapa</t>
  </si>
  <si>
    <t>Jaramijó</t>
  </si>
  <si>
    <t>Tosagua</t>
  </si>
  <si>
    <t>Pichincha</t>
  </si>
  <si>
    <t>Rocafuerte</t>
  </si>
  <si>
    <t>Junín</t>
  </si>
  <si>
    <t>Bolívar</t>
  </si>
  <si>
    <t>ESTRUCTURA EST-1CR (UR)</t>
  </si>
  <si>
    <t>ESTRUCTURA EST-1CD (UR2)</t>
  </si>
  <si>
    <t>ESTRUCTURA EST-1CP (UP)</t>
  </si>
  <si>
    <t>ESTRUCTURA EST-1CA (UP2)</t>
  </si>
  <si>
    <t>ESTRUCTURA EST-3CR (RC)</t>
  </si>
  <si>
    <t>ESTRUCTURA EST-3VP (SV)</t>
  </si>
  <si>
    <t>ESTRUCTURA EST-3VA (AV)</t>
  </si>
  <si>
    <t>ESTRUCTURA EST-3VD (RRV)</t>
  </si>
  <si>
    <t>ESTRUCTURA EST-3CD (RRC)</t>
  </si>
  <si>
    <t>ESTRUCTURA EST-3BA (BA)</t>
  </si>
  <si>
    <t>Seccionador fusible unipolar, tipo abierto, clase 15 kV, 100 A con dispositivo rompearco</t>
  </si>
  <si>
    <t>Poste circular de plástico reforzado con fibra de vidrio, 12 m, 500 kg</t>
  </si>
  <si>
    <t>GBL</t>
  </si>
  <si>
    <t>LETRERO</t>
  </si>
  <si>
    <t>Gbl</t>
  </si>
  <si>
    <t>CAMBIO O REUBICACIÓN DE ACOMETIDA</t>
  </si>
  <si>
    <t>CAMBIO O REUBICACIÓN DE MEDIDOR ( CAJA + MEDIDOR+TIERRA)</t>
  </si>
  <si>
    <t>LEVANTAMIENTO INFORMACION MEDIDORES</t>
  </si>
  <si>
    <t>MANO DE OBRA ADICIONAL PARA LÍNEAS Y REDES</t>
  </si>
  <si>
    <t xml:space="preserve">RETIRO DE POSTE DE H.A. DE 9 A 12M CON GRÚA </t>
  </si>
  <si>
    <t>DESMONTAJE TOTAL DE TRANSFORM. MONOFÁSICAS A MANO ( HASTA 75 KVA)</t>
  </si>
  <si>
    <t>DESMONTAJE ESTRUCTURA EMPALME (3 CONECTORES + 6 PRECINTOS)</t>
  </si>
  <si>
    <t>CONDUCTOR CONCÉNTRICO DE ALUMINIO, 600V, 2X6+1X6 AWG</t>
  </si>
  <si>
    <t>LEVANTAMIENTO INFORMACIÓN MEDIDORES</t>
  </si>
  <si>
    <t>POSTE HORMIGÓN ARMADO CIRCULAR 10 M X 400 KG</t>
  </si>
  <si>
    <t>POSTE HORMIGÓN ARMADO CIRCULAR 12 M X 500 KG</t>
  </si>
  <si>
    <t>ESTRUCTURAS MONOFÁSICOS 7,9KV</t>
  </si>
  <si>
    <t>ESTRUCTURAS TRIFÁSICOS 13,8KV</t>
  </si>
  <si>
    <t>ESTRUCTURAS BAJA TENSIÓN RED PREENSAMBLADA</t>
  </si>
  <si>
    <t>EXCAVACIÓN PARA POSTES O ANCLAS TERRENO DURO</t>
  </si>
  <si>
    <t xml:space="preserve">IZADO DE POSTE DE H.A. DE 9 A 12M CON GRÚA </t>
  </si>
  <si>
    <t>P. MATERIALES</t>
  </si>
  <si>
    <t>DESGLOSE</t>
  </si>
  <si>
    <t>CODIGO</t>
  </si>
  <si>
    <t>CP</t>
  </si>
  <si>
    <t>RS</t>
  </si>
  <si>
    <t>AP</t>
  </si>
  <si>
    <t>HOJA</t>
  </si>
  <si>
    <t>BIENES Y SERVICIOS</t>
  </si>
  <si>
    <t>GASTOS ADMINISTRATIVOS 7%</t>
  </si>
  <si>
    <t>FISCALIZACION 5%</t>
  </si>
  <si>
    <t>PO0-0HC10_400</t>
  </si>
  <si>
    <t>PO0-0HC12_500</t>
  </si>
  <si>
    <t>PO0-0PC12_500</t>
  </si>
  <si>
    <t>EST-1CR</t>
  </si>
  <si>
    <t>EST-1CD</t>
  </si>
  <si>
    <t>EST-1CP</t>
  </si>
  <si>
    <t>EST-1CA</t>
  </si>
  <si>
    <t>EST-1BA</t>
  </si>
  <si>
    <t>ESD-1PP3</t>
  </si>
  <si>
    <t>ESD-1PR3</t>
  </si>
  <si>
    <t>TAD-0FS</t>
  </si>
  <si>
    <t>TAD-0TS</t>
  </si>
  <si>
    <t>TAT-0TD</t>
  </si>
  <si>
    <t>TAT-0TS</t>
  </si>
  <si>
    <t>TAT-0FS</t>
  </si>
  <si>
    <t>SPV-1O100</t>
  </si>
  <si>
    <t>PT0-0DC2_1</t>
  </si>
  <si>
    <t>APC-0PLCS100AC</t>
  </si>
  <si>
    <t>APC-0PLCS150AC</t>
  </si>
  <si>
    <t>TRT-1A5</t>
  </si>
  <si>
    <t>TRT-1A37.5</t>
  </si>
  <si>
    <t>TRT-1A50</t>
  </si>
  <si>
    <t>TRT-1A10</t>
  </si>
  <si>
    <t>TRT-1A15</t>
  </si>
  <si>
    <t>CO0-0X3x6</t>
  </si>
  <si>
    <t>Costos Movilización y Administrativo</t>
  </si>
  <si>
    <t>IVA</t>
  </si>
  <si>
    <t>Fiscalización</t>
  </si>
  <si>
    <t>Mano de Obra</t>
  </si>
  <si>
    <t>ME</t>
  </si>
  <si>
    <t>DESCRIPCIÓN DE OBROS</t>
  </si>
  <si>
    <t>VINCULACION LINEA A LINEA</t>
  </si>
  <si>
    <t>ARQ. SIXTO DURÁN BALLÉN</t>
  </si>
  <si>
    <t>BELLAVISTA</t>
  </si>
  <si>
    <t>NOBOA</t>
  </si>
  <si>
    <t>SUCRE, CABECERA CANTONAL</t>
  </si>
  <si>
    <t>CALCETA, CABECERA CANTONAL</t>
  </si>
  <si>
    <t>MEMBRILLO</t>
  </si>
  <si>
    <t>QUIROGA</t>
  </si>
  <si>
    <t>BOYACÁ</t>
  </si>
  <si>
    <t>CANUTO</t>
  </si>
  <si>
    <t>CHIBUNGA</t>
  </si>
  <si>
    <t>CHONE</t>
  </si>
  <si>
    <t>CHONE, CABECERA CANTONAL</t>
  </si>
  <si>
    <t>CONVENTO</t>
  </si>
  <si>
    <t>ELOY ALFARO</t>
  </si>
  <si>
    <t>RICAURTE</t>
  </si>
  <si>
    <t>SAN ANTONIO</t>
  </si>
  <si>
    <t>SANTA RITA</t>
  </si>
  <si>
    <t>JARAMIJÓ, CABECERA CANTONAL</t>
  </si>
  <si>
    <t>AMÉRICA</t>
  </si>
  <si>
    <t>DR. MIGUEL MORÁN LUCIO</t>
  </si>
  <si>
    <t>EL ANEGADO (CAB. EN ELOY ALFARO)</t>
  </si>
  <si>
    <t>JIPIJAPA, CABECERA CANTONAL</t>
  </si>
  <si>
    <t>JULCUY</t>
  </si>
  <si>
    <t>LA UNIÓN</t>
  </si>
  <si>
    <t>MANUEL INOCENCIO PARRALES Y GUALE</t>
  </si>
  <si>
    <t>MEMBRILLAL</t>
  </si>
  <si>
    <t>PEDRO PABLO GÓMEZ</t>
  </si>
  <si>
    <t>PUERTO DE CAYO</t>
  </si>
  <si>
    <t>SAN LORENZO DE JIPIJAPA</t>
  </si>
  <si>
    <t>JUNÍN, CABECERA CANTONAL</t>
  </si>
  <si>
    <t>LOS ESTEROS</t>
  </si>
  <si>
    <t>MANTA</t>
  </si>
  <si>
    <t>MANTA, CABECERA CANTONAL</t>
  </si>
  <si>
    <t>SAN LORENZO</t>
  </si>
  <si>
    <t>SAN MATEO</t>
  </si>
  <si>
    <t>SANTA MARIANITA (BOCA DE PACOCHE)</t>
  </si>
  <si>
    <t>TARQUI</t>
  </si>
  <si>
    <t>ANIBAL SAN ANDRÉS</t>
  </si>
  <si>
    <t>EL COLORADO</t>
  </si>
  <si>
    <t>GENERAL ELOY ALFARO</t>
  </si>
  <si>
    <t>LA PILA</t>
  </si>
  <si>
    <t>LEONIDAS PROAÑO</t>
  </si>
  <si>
    <t>MONTECRISTI</t>
  </si>
  <si>
    <t>MONTECRISTI, CABECERA CANTONAL</t>
  </si>
  <si>
    <t>OLMEDO, CABECERA CANTONAL</t>
  </si>
  <si>
    <t>CAMPOZANO (LA PALMA DE PAJÁN)</t>
  </si>
  <si>
    <t>CASCOL</t>
  </si>
  <si>
    <t>GUALE</t>
  </si>
  <si>
    <t>LASCANO</t>
  </si>
  <si>
    <t>PAJÁN, CABECERA CANTONAL</t>
  </si>
  <si>
    <t>BARRAGANETE</t>
  </si>
  <si>
    <t>PICHINCHA, CABECERA CANTONAL</t>
  </si>
  <si>
    <t>SAN SEBASTIÁN</t>
  </si>
  <si>
    <t>12 DE MARZO</t>
  </si>
  <si>
    <t>18 DE OCTUBRE</t>
  </si>
  <si>
    <t>ABDÓN CALDERÓN (SAN FRANCISCO)</t>
  </si>
  <si>
    <t>ALHAJUELA (BAJO GRANDE)</t>
  </si>
  <si>
    <t>ANDRÉS DE VERA</t>
  </si>
  <si>
    <t>CHIRIJOS</t>
  </si>
  <si>
    <t>COLÓN</t>
  </si>
  <si>
    <t>CRUCITA</t>
  </si>
  <si>
    <t>FRANCISCO PACHECO</t>
  </si>
  <si>
    <t>PICOAZÁ</t>
  </si>
  <si>
    <t>PORTOVIEJO</t>
  </si>
  <si>
    <t>PORTOVIEJO, CABECERA CANTONAL Y CAPITAL PROVINCIAL</t>
  </si>
  <si>
    <t>PUEBLO NUEVO</t>
  </si>
  <si>
    <t>RIOCHICO (RÍO CHICO)</t>
  </si>
  <si>
    <t>SAN PABLO</t>
  </si>
  <si>
    <t>SAN PLÁCIDO</t>
  </si>
  <si>
    <t>SIMÓN BOLÍVAR</t>
  </si>
  <si>
    <t>MACHALILLA</t>
  </si>
  <si>
    <t>PUERTO LÓPEZ, CABECERA CANTONAL</t>
  </si>
  <si>
    <t>SALANGO</t>
  </si>
  <si>
    <t>ROCAFUERTE, CABECERA CANTONAL</t>
  </si>
  <si>
    <t>CANOA</t>
  </si>
  <si>
    <t>SAN VICENTE, CABECERA CANTONAL</t>
  </si>
  <si>
    <t>AYACUCHO</t>
  </si>
  <si>
    <t>HONORATO VÁSQUEZ (CAB. EN VÁSQUEZ)</t>
  </si>
  <si>
    <t>LODANA</t>
  </si>
  <si>
    <t>SAN PABLO (CAB. EN PUEBLO NUEVO)</t>
  </si>
  <si>
    <t>SANTA ANA</t>
  </si>
  <si>
    <t>SANTA ANA DE VUELTA LARGA, CABECERA CANTONAL</t>
  </si>
  <si>
    <t>BAHÍA DE CARÁQUEZ, CABECERA CANTONAL</t>
  </si>
  <si>
    <t>CHARAPOTÓ</t>
  </si>
  <si>
    <t>LEONIDAS PLAZA GUTIÉRREZ</t>
  </si>
  <si>
    <t>SAN ISIDRO</t>
  </si>
  <si>
    <t>ANGEL PEDRO GILER (LA ESTANCILLA)</t>
  </si>
  <si>
    <t>BACHILLERO</t>
  </si>
  <si>
    <t>TOSAGUA, CABECERA CANTONAL</t>
  </si>
  <si>
    <t>PARROQUIA</t>
  </si>
  <si>
    <t>131653</t>
  </si>
  <si>
    <t>131651</t>
  </si>
  <si>
    <t>131652</t>
  </si>
  <si>
    <t>131650</t>
  </si>
  <si>
    <t>130250</t>
  </si>
  <si>
    <t>130251</t>
  </si>
  <si>
    <t>130252</t>
  </si>
  <si>
    <t>130351</t>
  </si>
  <si>
    <t>130352</t>
  </si>
  <si>
    <t>130354</t>
  </si>
  <si>
    <t>130301</t>
  </si>
  <si>
    <t>130350</t>
  </si>
  <si>
    <t>130353</t>
  </si>
  <si>
    <t>130355</t>
  </si>
  <si>
    <t>130356</t>
  </si>
  <si>
    <t>130357</t>
  </si>
  <si>
    <t>130302</t>
  </si>
  <si>
    <t>130402</t>
  </si>
  <si>
    <t>4 DE DICIEMBRE</t>
  </si>
  <si>
    <t>130401</t>
  </si>
  <si>
    <t>EL CARMEN</t>
  </si>
  <si>
    <t>130450</t>
  </si>
  <si>
    <t>EL CARMEN, CABECERA CANTONAL</t>
  </si>
  <si>
    <t>130452</t>
  </si>
  <si>
    <t>SAN PEDRO DE SUMA</t>
  </si>
  <si>
    <t>130451</t>
  </si>
  <si>
    <t>WILFRIDO LOOR MOREIRA (MAICITO)</t>
  </si>
  <si>
    <t>130550</t>
  </si>
  <si>
    <t>FLAVIO ALFARO, CABECERA CANTONAL</t>
  </si>
  <si>
    <t>130551</t>
  </si>
  <si>
    <t>SAN FRANCISCO DE NOVILLO (CAB. EN  NOVILLO)</t>
  </si>
  <si>
    <t>130552</t>
  </si>
  <si>
    <t>ZAPALLO</t>
  </si>
  <si>
    <t>132050</t>
  </si>
  <si>
    <t>JAMA, CABECERA CANTONAL</t>
  </si>
  <si>
    <t>132150</t>
  </si>
  <si>
    <t>130651</t>
  </si>
  <si>
    <t>130601</t>
  </si>
  <si>
    <t>130652</t>
  </si>
  <si>
    <t>130650</t>
  </si>
  <si>
    <t>130653</t>
  </si>
  <si>
    <t>130654</t>
  </si>
  <si>
    <t>130602</t>
  </si>
  <si>
    <t>130656</t>
  </si>
  <si>
    <t>130657</t>
  </si>
  <si>
    <t>130658</t>
  </si>
  <si>
    <t>130603</t>
  </si>
  <si>
    <t>130750</t>
  </si>
  <si>
    <t>130805</t>
  </si>
  <si>
    <t>130801</t>
  </si>
  <si>
    <t>130802</t>
  </si>
  <si>
    <t>130850</t>
  </si>
  <si>
    <t>130851</t>
  </si>
  <si>
    <t>130803</t>
  </si>
  <si>
    <t>130852</t>
  </si>
  <si>
    <t>130804</t>
  </si>
  <si>
    <t>130901</t>
  </si>
  <si>
    <t>130903</t>
  </si>
  <si>
    <t>130904</t>
  </si>
  <si>
    <t>130952</t>
  </si>
  <si>
    <t>130905</t>
  </si>
  <si>
    <t>130902</t>
  </si>
  <si>
    <t>130950</t>
  </si>
  <si>
    <t>131850</t>
  </si>
  <si>
    <t>131051</t>
  </si>
  <si>
    <t>131052</t>
  </si>
  <si>
    <t>131053</t>
  </si>
  <si>
    <t>131054</t>
  </si>
  <si>
    <t>131050</t>
  </si>
  <si>
    <t>131752</t>
  </si>
  <si>
    <t>10 DE AGOSTO</t>
  </si>
  <si>
    <t>131753</t>
  </si>
  <si>
    <t>ATAHUALPA</t>
  </si>
  <si>
    <t>131751</t>
  </si>
  <si>
    <t>COJIMÍES</t>
  </si>
  <si>
    <t>131750</t>
  </si>
  <si>
    <t>PEDERNALES, CABECERA CANTONAL</t>
  </si>
  <si>
    <t>131151</t>
  </si>
  <si>
    <t>131150</t>
  </si>
  <si>
    <t>131152</t>
  </si>
  <si>
    <t>130102</t>
  </si>
  <si>
    <t>130108</t>
  </si>
  <si>
    <t>130151</t>
  </si>
  <si>
    <t>130152</t>
  </si>
  <si>
    <t>130106</t>
  </si>
  <si>
    <t>130157</t>
  </si>
  <si>
    <t>130103</t>
  </si>
  <si>
    <t>130153</t>
  </si>
  <si>
    <t>130107</t>
  </si>
  <si>
    <t>130104</t>
  </si>
  <si>
    <t>130101</t>
  </si>
  <si>
    <t>130150</t>
  </si>
  <si>
    <t>130154</t>
  </si>
  <si>
    <t>130155</t>
  </si>
  <si>
    <t>130105</t>
  </si>
  <si>
    <t>130156</t>
  </si>
  <si>
    <t>130109</t>
  </si>
  <si>
    <t>131951</t>
  </si>
  <si>
    <t>131950</t>
  </si>
  <si>
    <t>131952</t>
  </si>
  <si>
    <t>131250</t>
  </si>
  <si>
    <t>132251</t>
  </si>
  <si>
    <t>132250</t>
  </si>
  <si>
    <t>131351</t>
  </si>
  <si>
    <t>131352</t>
  </si>
  <si>
    <t>131353</t>
  </si>
  <si>
    <t>131302</t>
  </si>
  <si>
    <t>131355</t>
  </si>
  <si>
    <t>131301</t>
  </si>
  <si>
    <t>131350</t>
  </si>
  <si>
    <t>131401</t>
  </si>
  <si>
    <t>BAHÍA DE CARÁQUEZ</t>
  </si>
  <si>
    <t>131450</t>
  </si>
  <si>
    <t>131453</t>
  </si>
  <si>
    <t>131402</t>
  </si>
  <si>
    <t>131457</t>
  </si>
  <si>
    <t>131552</t>
  </si>
  <si>
    <t>131551</t>
  </si>
  <si>
    <t>131550</t>
  </si>
  <si>
    <t>Parroquia</t>
  </si>
  <si>
    <t>Codigo de parroquia</t>
  </si>
  <si>
    <t>X (UTM)</t>
  </si>
  <si>
    <t>Y (UTM)</t>
  </si>
  <si>
    <t>Vcs (#)</t>
  </si>
  <si>
    <t>Vss (#)</t>
  </si>
  <si>
    <t>PROYECTO DE INVERSION</t>
  </si>
  <si>
    <t>MT (kV)</t>
  </si>
  <si>
    <t>MT (km)</t>
  </si>
  <si>
    <t>BT (km)</t>
  </si>
  <si>
    <t>Trafos (#)</t>
  </si>
  <si>
    <t>Trafos (kVA)</t>
  </si>
  <si>
    <t>Acometidas (#)</t>
  </si>
  <si>
    <t>Acometidas (km)</t>
  </si>
  <si>
    <t>Medidores (#)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</si>
  <si>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</si>
  <si>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</si>
  <si>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</si>
  <si>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</si>
  <si>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</si>
  <si>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</si>
  <si>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</si>
  <si>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</si>
  <si>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</si>
  <si>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Luminarias (#)</t>
  </si>
  <si>
    <t>Luminarias (kW)</t>
  </si>
  <si>
    <t>Suelda exotérmica de 150 gramos</t>
  </si>
  <si>
    <t>Grapa de derivación para línea en caliente de aleación de Al</t>
  </si>
  <si>
    <t>MATERIALES Y ESTRUCTURAS</t>
  </si>
  <si>
    <t>MANO DE OBRA</t>
  </si>
  <si>
    <t>SUBTOTAL PRESUPUESTO MATERIALES</t>
  </si>
  <si>
    <t xml:space="preserve">TOTAL PRESUPUESTO DE MATERIALES </t>
  </si>
  <si>
    <t xml:space="preserve">P/UNITARIO  </t>
  </si>
  <si>
    <t xml:space="preserve">SUBTOTAL DE MANO DE OBRA </t>
  </si>
  <si>
    <t>MONTAJE DE ESTRUCTURAS</t>
  </si>
  <si>
    <t>MONTAJE DE TENSORES</t>
  </si>
  <si>
    <t>MONTAJE DE PROTECCIONES</t>
  </si>
  <si>
    <t>MONTAJE DE LUMINARIAS</t>
  </si>
  <si>
    <t xml:space="preserve">MONOFÁSICO AUTOPROTEGIDO HASTA 50 KVA </t>
  </si>
  <si>
    <t xml:space="preserve">TOTAL PRESUPUESTO DE MANO DE OBRA </t>
  </si>
  <si>
    <t>CABLES ACERADOS</t>
  </si>
  <si>
    <t>MEDIDORES Y CAJAS DE PROTECCIÓN</t>
  </si>
  <si>
    <t>CAJA DE PROTECCIÓN PARA ALOJAR MEDIDOR</t>
  </si>
  <si>
    <t>14</t>
  </si>
  <si>
    <t>15</t>
  </si>
  <si>
    <t>1</t>
  </si>
  <si>
    <t>MONTAJE DE TRANSFORMADORES DISTRIBUCIÓN AUTOPROTEGIDOS</t>
  </si>
  <si>
    <t>MONTAJE DE OTROS RUBROS DE MANO DE OBRA EN LÍNEAS Y REDES</t>
  </si>
  <si>
    <t>MONTAJE DE MANO DE OBRA DE MEDIDORES</t>
  </si>
  <si>
    <t xml:space="preserve">LUMINARIAS </t>
  </si>
  <si>
    <t>ESTRUCTURA 1PP3</t>
  </si>
  <si>
    <t>ESTRUCTURA 1PR3</t>
  </si>
  <si>
    <t>ESTRUCTURA EST-3CA (AC)</t>
  </si>
  <si>
    <t>ESTRUCTURA EST-1BA (UA)</t>
  </si>
  <si>
    <t>ESTRUCTURA TAT-0TD</t>
  </si>
  <si>
    <t>ESTRUCTURA TAT-0TS</t>
  </si>
  <si>
    <t>ESTRUCTURA TAD-0TS</t>
  </si>
  <si>
    <t>ESTRUCTURA TAT-0FS</t>
  </si>
  <si>
    <t>ESTRUCTURA TAD-0FS</t>
  </si>
  <si>
    <t>CONDUCTOR CONCENTRICO (CON.Al.3x6)</t>
  </si>
  <si>
    <t>DESMONTAJE ESTRUCTURA 1CP</t>
  </si>
  <si>
    <t>DESMONTAJE ESTRUCTURA 1CA</t>
  </si>
  <si>
    <t>DESMONTAJE ESTRUCTURA 1CR</t>
  </si>
  <si>
    <t>DESMONTAJE ESTRUCTURA 1CD</t>
  </si>
  <si>
    <t>DESMONTAJE ESTRUCTURA 1BA</t>
  </si>
  <si>
    <t>DESMONTAJE ESTRUCTURA 3CP</t>
  </si>
  <si>
    <t>DESMONTAJE ESTRUCTURA 3CR</t>
  </si>
  <si>
    <t>DESMONTAJE ESTRUCTURA 3CA</t>
  </si>
  <si>
    <t>DESMONTAJE ESTRUCTURA 3VP</t>
  </si>
  <si>
    <t>DESMONTAJE ESTRUCTURA 3VR</t>
  </si>
  <si>
    <t>DESMONTAJE ESTRUCTURA 3VA</t>
  </si>
  <si>
    <t>DESMONTAJE ESTRUCTURA 3VD</t>
  </si>
  <si>
    <t>DESMONTAJE ESTRUCTURA 3CD</t>
  </si>
  <si>
    <t>DESMONTAJE ESTRUCTURA 3BA</t>
  </si>
  <si>
    <t>DESMONTAJE ESTRUCTURA 1EP ó 1ER</t>
  </si>
  <si>
    <t>DESMONTAJE ESTRUCTURA 2ER</t>
  </si>
  <si>
    <t>DESMONTAJE ESTRUCTURA 1PP3</t>
  </si>
  <si>
    <t>DESMONTAJE ESTRUCTURA 1PR3</t>
  </si>
  <si>
    <t>CAJA DE BREAKER</t>
  </si>
  <si>
    <t>Caja de breaker de 2 polos</t>
  </si>
  <si>
    <t>Breaker de 2 polos 40A</t>
  </si>
  <si>
    <t>BREAKER DE 2 POLOS 40A</t>
  </si>
  <si>
    <t>SECCIONADOR FUSIBLE UNIPOLAR, TIPO ABIERTO, CLASE 15 KV, 100 A CON DISPOSITIVO ROMPEARCO</t>
  </si>
  <si>
    <t>ESTRUCTURA EST-3CP (SC)</t>
  </si>
  <si>
    <t>ESTRUCTURA EST-3VR (RV)</t>
  </si>
  <si>
    <t>GRAPA ESTRIBO LINEA ENERGIZADA AL-CU 4-266,8 AWG</t>
  </si>
  <si>
    <t>Conductor para acometidas</t>
  </si>
  <si>
    <t>COSTO DE MATERIALES</t>
  </si>
  <si>
    <t>COSTO MANO DE OBRA</t>
  </si>
  <si>
    <t>Empresa Eléctrica Pública Estratégica Corporación Nacional de Electricidad CNEL EP
Unidad de Negocios Manabí</t>
  </si>
  <si>
    <t xml:space="preserve">               </t>
  </si>
  <si>
    <t>Ing. Liliana Vélez Mendoza</t>
  </si>
  <si>
    <t>Ing. Daniel Zambrano Pinto</t>
  </si>
  <si>
    <t>MEDIDOR 240</t>
  </si>
  <si>
    <t xml:space="preserve">          </t>
  </si>
  <si>
    <t>CANTON :</t>
  </si>
  <si>
    <t>DIST.(KM)=</t>
  </si>
  <si>
    <t xml:space="preserve">PARROQUIA: </t>
  </si>
  <si>
    <t>ITEM</t>
  </si>
  <si>
    <t>DESCRIPCIÓN</t>
  </si>
  <si>
    <t>C/U</t>
  </si>
  <si>
    <t>Montaje Transformador 25 KVA</t>
  </si>
  <si>
    <t>Montaje Transformador 15 KVA</t>
  </si>
  <si>
    <t>Montaje Transformador 10 KVA</t>
  </si>
  <si>
    <t>Montaje Transformador  5 KVA</t>
  </si>
  <si>
    <t>Montaje Transformador  3 KVA</t>
  </si>
  <si>
    <t>Montaje Puesta Tierra</t>
  </si>
  <si>
    <t>Montaje Caja Portafusible</t>
  </si>
  <si>
    <t>Montaje de Luminaría  100 W</t>
  </si>
  <si>
    <t>Montaje de Medidores (Caja Antihurto,Conc.)</t>
  </si>
  <si>
    <t xml:space="preserve">                              </t>
  </si>
  <si>
    <t>PESO DE LOS MATERIALES</t>
  </si>
  <si>
    <t>SITIO:</t>
  </si>
  <si>
    <t>CANTIDAD DE MATERIAL</t>
  </si>
  <si>
    <t>PESO TOTAL</t>
  </si>
  <si>
    <t>PESO
UNITARIO
(Kg)</t>
  </si>
  <si>
    <t>Conductor #2 ASCR</t>
  </si>
  <si>
    <t>Cable Preensamblado 2X50+1X50, 600V</t>
  </si>
  <si>
    <t>Cable Concentrico 1x6+1x6</t>
  </si>
  <si>
    <t>Cable Concentrico 2x6+1x6</t>
  </si>
  <si>
    <t>Duplex 1x6+1x6</t>
  </si>
  <si>
    <t>Triplex 2x6+1x6</t>
  </si>
  <si>
    <t>Montaje Transformador 37,5 KVA</t>
  </si>
  <si>
    <t>Montaje Transformador 50 KVA</t>
  </si>
  <si>
    <t>Montaje Estructura 1ER + 1EP</t>
  </si>
  <si>
    <t>Montaje Estructura 1ED</t>
  </si>
  <si>
    <t>Montaje Estructura 1CD</t>
  </si>
  <si>
    <t>Montaje Estructura 1CR</t>
  </si>
  <si>
    <t>Montaje Estructura 1CP</t>
  </si>
  <si>
    <t>Montaje Estructura 1BA</t>
  </si>
  <si>
    <t>Montaje Estructura 1CA</t>
  </si>
  <si>
    <t>Montaje Estructura TTDT</t>
  </si>
  <si>
    <t>Montaje Estructura TTST+TTSD</t>
  </si>
  <si>
    <t>Montaje Estructura TFST+TFSD</t>
  </si>
  <si>
    <t>Montaje Estructura PP3</t>
  </si>
  <si>
    <t>Montaje Estructura PR3</t>
  </si>
  <si>
    <t>AC</t>
  </si>
  <si>
    <t>TD</t>
  </si>
  <si>
    <t>C</t>
  </si>
  <si>
    <t>TRANSPORTE</t>
  </si>
  <si>
    <t>Tn</t>
  </si>
  <si>
    <t>SUBTOTAL TRANSPORTE</t>
  </si>
  <si>
    <t>TOTAL</t>
  </si>
  <si>
    <t>Cantón</t>
  </si>
  <si>
    <t>Total</t>
  </si>
  <si>
    <t>VAN</t>
  </si>
  <si>
    <t>TIR</t>
  </si>
  <si>
    <t>CARGA, TRANSPORTE Y DESCARGA DE MATERIALES (Peso x Distancia x P/Unitario)</t>
  </si>
  <si>
    <t>Peso de Material</t>
  </si>
  <si>
    <t>Tn*Km</t>
  </si>
  <si>
    <t>TRANSFORMADOR 5</t>
  </si>
  <si>
    <t>TRANSFORMADOR 10</t>
  </si>
  <si>
    <t>TRANSFORMADOR 15</t>
  </si>
  <si>
    <t>TRANSFORMADOR 25</t>
  </si>
  <si>
    <t>TRANSFORMADOR 37,5</t>
  </si>
  <si>
    <t>TRANSFORMADOR 50</t>
  </si>
  <si>
    <t>PO0-0HC14_500</t>
  </si>
  <si>
    <t>PO0-0HC14_700</t>
  </si>
  <si>
    <t>Nombre Proyecto</t>
  </si>
  <si>
    <t>Fecha Estimada  Inicio de Ejecución (dd/mm/aaaa)</t>
  </si>
  <si>
    <t>Tiempo Estimado de duración (Meses)</t>
  </si>
  <si>
    <t>Programa de Inversión</t>
  </si>
  <si>
    <t>FERUM</t>
  </si>
  <si>
    <t>Actividades</t>
  </si>
  <si>
    <t>Construcción e implementación de nuevas redes en baja y media tensión</t>
  </si>
  <si>
    <t>Tipo de Alumbrado</t>
  </si>
  <si>
    <t>Tipo de Luminaria</t>
  </si>
  <si>
    <t>General</t>
  </si>
  <si>
    <t>Sodio</t>
  </si>
  <si>
    <t>CARACTERISTICAS FISICAS</t>
  </si>
  <si>
    <t xml:space="preserve"> Beneficio /Costo</t>
  </si>
  <si>
    <t>Retorno Económico (USD)</t>
  </si>
  <si>
    <t>Cobertura Base (%)</t>
  </si>
  <si>
    <t>Cobertura Esperada (%)</t>
  </si>
  <si>
    <t>CON SERVICIO</t>
  </si>
  <si>
    <t>SIN SERVICIO</t>
  </si>
  <si>
    <t>ABDON CALDERON</t>
  </si>
  <si>
    <t>RIOCHICO (RIO CHICO)</t>
  </si>
  <si>
    <t>SAN PLACIDO</t>
  </si>
  <si>
    <t>CALCETA</t>
  </si>
  <si>
    <t>BOYACA</t>
  </si>
  <si>
    <t>WILFRIDO LOOR MOREIRA</t>
  </si>
  <si>
    <t>FLAVIO ALFARO</t>
  </si>
  <si>
    <t>SAN FRANCISCO DE NOVILLO</t>
  </si>
  <si>
    <t>JIPIJAPA</t>
  </si>
  <si>
    <t>AMERICA</t>
  </si>
  <si>
    <t>EL ANEGADO</t>
  </si>
  <si>
    <t>LA UNION</t>
  </si>
  <si>
    <t>PEDRO PABLO GOMEZ</t>
  </si>
  <si>
    <t>JUNIN</t>
  </si>
  <si>
    <t>SANTA MARIANITA</t>
  </si>
  <si>
    <t>PAJAN</t>
  </si>
  <si>
    <t>CAMPOZANO</t>
  </si>
  <si>
    <t>PICHINCHA</t>
  </si>
  <si>
    <t>SAN SEBASTIAN</t>
  </si>
  <si>
    <t>ROCAFUERTE</t>
  </si>
  <si>
    <t>SANTA ANA DE VUELTA LARGA</t>
  </si>
  <si>
    <t>HONORATO VASQUEZ</t>
  </si>
  <si>
    <t>BAHIA DE CARAQUEZ</t>
  </si>
  <si>
    <t>CHARAPOTO</t>
  </si>
  <si>
    <t>TOSAGUA</t>
  </si>
  <si>
    <t>ANGEL PEDRO GILER</t>
  </si>
  <si>
    <t>SUCRE</t>
  </si>
  <si>
    <t>ARQ. SIXTO DURAN BALLEN</t>
  </si>
  <si>
    <t>PEDERNALES</t>
  </si>
  <si>
    <t>COJIMIES</t>
  </si>
  <si>
    <t>OLMEDO</t>
  </si>
  <si>
    <t>PUERTO LOPEZ</t>
  </si>
  <si>
    <t>JAMA</t>
  </si>
  <si>
    <t>JARAMIJO</t>
  </si>
  <si>
    <t>SAN VICENTE</t>
  </si>
  <si>
    <t>SAN LORENZO DE MANTA</t>
  </si>
  <si>
    <t>TOTAL DE VIVIENDAS</t>
  </si>
  <si>
    <t>% CON SERVICIO</t>
  </si>
  <si>
    <t>% SIN SERVICIO</t>
  </si>
  <si>
    <t>INDICADORES</t>
  </si>
  <si>
    <t>CRONOGRAMA</t>
  </si>
  <si>
    <t>TENDIDO Y REGULADO DE CONDUCTORES</t>
  </si>
  <si>
    <t>2.1</t>
  </si>
  <si>
    <t>2.2</t>
  </si>
  <si>
    <t>2.3</t>
  </si>
  <si>
    <t>INSTALACION CAJA, MEDIDOR, ACOM + P A TIERRA</t>
  </si>
  <si>
    <t>LEVANTAMIENTO INFORMACIÓN PARA EL SIG</t>
  </si>
  <si>
    <t>P.Unitario Tn*Km=</t>
  </si>
  <si>
    <t>Porcentaje de Imprevistos=</t>
  </si>
  <si>
    <t>Empresa Eléctrica Pública Estr1,25*,03atégica Corporación Nacional de Electricidad CNEL EP
Unidad de Negocios Manabí</t>
  </si>
  <si>
    <t>CABLE PREENSAMBLADO 2X70+1X50, 600V</t>
  </si>
  <si>
    <t>Componentes / Rubros</t>
  </si>
  <si>
    <t>FUENTES DE FINANCIAMIENTO</t>
  </si>
  <si>
    <t>Externas</t>
  </si>
  <si>
    <t>Crédito</t>
  </si>
  <si>
    <t>Cooperacion</t>
  </si>
  <si>
    <t>Internas</t>
  </si>
  <si>
    <t>Fiscales</t>
  </si>
  <si>
    <t>R. Propios</t>
  </si>
  <si>
    <t>A. Comunidad</t>
  </si>
  <si>
    <t>Construcción de las redes de MT y BT</t>
  </si>
  <si>
    <t>Adquisición de Materiales</t>
  </si>
  <si>
    <t>Mano de Obra para la Construcción</t>
  </si>
  <si>
    <t>Transporte</t>
  </si>
  <si>
    <t>COMPONENTES</t>
  </si>
  <si>
    <t>NOMBRE DEL PROYECTO</t>
  </si>
  <si>
    <t>PARROQUIAS</t>
  </si>
  <si>
    <t>POBLACIÓN OBJETIVO</t>
  </si>
  <si>
    <t>Viviendas con servicio mejoras</t>
  </si>
  <si>
    <t>Viviendas sin servicio</t>
  </si>
  <si>
    <t>Total Viviendas</t>
  </si>
  <si>
    <t>Total MT
(Km)</t>
  </si>
  <si>
    <t>Total BT
(Km)</t>
  </si>
  <si>
    <t>USD Total Solicitado FERUM (Inversión)</t>
  </si>
  <si>
    <t>CANTÓN</t>
  </si>
  <si>
    <t>ESTRUCTURA 
PP3</t>
  </si>
  <si>
    <t>ESTRUCTURA 
PR3</t>
  </si>
  <si>
    <t>ESTRUCTURA 
PA3</t>
  </si>
  <si>
    <t>ESTRUCTURA 
PD3</t>
  </si>
  <si>
    <t>ESTRUCTURA 1PA3</t>
  </si>
  <si>
    <t>ESTRUCTURA 1PD3</t>
  </si>
  <si>
    <t xml:space="preserve">ESTRUCTURA red preemsamblada tipo suspension </t>
  </si>
  <si>
    <t xml:space="preserve">ESTRUCTURA red preemsamblada tipo angular </t>
  </si>
  <si>
    <t>ESTRUCTURA red preemsamblada tipo doble retencion</t>
  </si>
  <si>
    <t>ESTRUCTURA red preemsamblada tipo retencion</t>
  </si>
  <si>
    <t>ESD-1PA3</t>
  </si>
  <si>
    <t>ESD-1PD3</t>
  </si>
  <si>
    <t>ESTRUCTURA red preensambladas tipo angular</t>
  </si>
  <si>
    <t>ESTRUCTURA red preensambladas tipo doble</t>
  </si>
  <si>
    <t xml:space="preserve">ESTRUCTURA red preensambladas tipo retención </t>
  </si>
  <si>
    <t xml:space="preserve">ESTRUCTURA red preensambladas tipo suspensión </t>
  </si>
  <si>
    <t>Gestión y Socialización del proyecto - Realizado</t>
  </si>
  <si>
    <t>Gestión, Administración, y socialización</t>
  </si>
  <si>
    <t>CO0-0B2</t>
  </si>
  <si>
    <t>CO0-0B1/0</t>
  </si>
  <si>
    <t>CO0-0T2X70(50)</t>
  </si>
  <si>
    <t xml:space="preserve">TOTAL PRESUPUESTO DE TRANSPORTE </t>
  </si>
  <si>
    <t>TOTAL DEL PROYECTO</t>
  </si>
  <si>
    <t>LONGITUD DE LINEA DE MEDIA TENSION 7,96KV</t>
  </si>
  <si>
    <t>DETALLE</t>
  </si>
  <si>
    <t>LONGITUD DE RED DE BAJA TENSION 240V</t>
  </si>
  <si>
    <t>CANTIDAD DE TRANSFORMADORES</t>
  </si>
  <si>
    <t>U</t>
  </si>
  <si>
    <t>TOTAL DE KVA INSTALADOS</t>
  </si>
  <si>
    <t>KVA</t>
  </si>
  <si>
    <t>CANTIDAD DE USUARIOS</t>
  </si>
  <si>
    <t>SECCIONADOR PORTA FUSIBLE 15kV - 100 A</t>
  </si>
  <si>
    <t>POSTE DE HORMOGON ARMADO 10m 400Kg/Er</t>
  </si>
  <si>
    <t>POSTE DE HORMOGON ARMADO 12m 500Kg/Er</t>
  </si>
  <si>
    <t>POSTE DE PLAST. REF. CON FIBRA 12m 500Kg/Er</t>
  </si>
  <si>
    <t>SOLO PARA EL DISEÑO</t>
  </si>
  <si>
    <t>RESUMEN DEL PROYECTO</t>
  </si>
  <si>
    <t>MANO DE OBRA PARA LA EJECUCIÓN DE LA OBRA</t>
  </si>
  <si>
    <t>TRANSPORTE DE MATERIALES AL SITIO</t>
  </si>
  <si>
    <t>COSTO DE TRANSPORTE</t>
  </si>
  <si>
    <t>FD (Km/600)</t>
  </si>
  <si>
    <t>TRANSPORTE DE MANO DE 0BRA/FD=(Km/600)</t>
  </si>
  <si>
    <t>ESTRUCTURA 1CR</t>
  </si>
  <si>
    <t>ABRAZADERA DE ACERO GALVANIZADO, PLETINA, 3 PERNOS, 38x4x140 mm (1 1/2" X 5/32" X 5 1/2")</t>
  </si>
  <si>
    <t>HORQUILLA DE ACERO GALVANIZADO PARA ANCLAJE 16x75mm, 5/8"x3" (Grillete U con pasador de 5/8")</t>
  </si>
  <si>
    <t>ESTRUCTURA 1CD</t>
  </si>
  <si>
    <t>ABRAZADERA DE ACERO GALVANIZADO, PLETINA, 4 PERNOS, 38x4x140 mm (1 1/2" X 5/32" X 5 1/2")</t>
  </si>
  <si>
    <t>PERNO PIN PUNTA DE POSTE SIMPLE DE ACERO GALVANIZADO CON ACCESORIOS DE SUJECION 19x457mm (3/4"x18")</t>
  </si>
  <si>
    <t>ESTRUCTURA 1BA</t>
  </si>
  <si>
    <t>ESTRUCTURA 1BD</t>
  </si>
  <si>
    <t>ESTRUCTURA EST-1BD</t>
  </si>
  <si>
    <t>ESTRUCTURA 1CP</t>
  </si>
  <si>
    <t>ESTRUCTURA 1CA</t>
  </si>
  <si>
    <t>PERNO PIN ACERO GALVANIZADO ROSCA PLASTICA DE 50mm 19x305mm (3/4"x12")</t>
  </si>
  <si>
    <t>CRUCETA DE ACERO GALVANIZADO, UNIVERSAL, PERFIL "L" 75x75x6mmx2mts</t>
  </si>
  <si>
    <t>PIE AMIGO DE ACERO GALVANIZADO PERFIL "L" 38x38x6x700MM (1 1/2"x1 1/2"x1/4"x27 9/16)"</t>
  </si>
  <si>
    <t>PERNO MAQUINA DE ACERO, TUERCA ARANDELA PLANA Y PRESION 16x38mm (5/8"x1 1/2")</t>
  </si>
  <si>
    <t>PERNO "U" DE ACERO GALVANIZADO, 2 TUERCAS, 2 ARANDELAS PLANAS Y 2 DE PRESION DE 16x152mm (5/8" X 6")</t>
  </si>
  <si>
    <t>VARILLA DE ARMAR PREFORMADA SIMPLE, PARA CABLE  ACSR 2-2/0</t>
  </si>
  <si>
    <t>PERNO ROSCA CORRIDA DE ACERO GALVANIZADO, 4 TUERCAS, 4 ARANDELAS PLANAS Y 4 DE PRESION, 16x306mm (5/8" X 12")</t>
  </si>
  <si>
    <t>PIE AMIGO ACERO, PERFIL "L" 38x38x6x1800mm (1 1/2x1 1/2x1/4x71")</t>
  </si>
  <si>
    <t>PERNO DE OJO DE ACERO, 4 TUERCAS, 4 ARANDELAS PLANA Y 4 DE PRESION 16x254mm (5/8" X 10")</t>
  </si>
  <si>
    <t>CRUCETA DE ACERO GALVANIZADO, UNIVERSAL, PERFIL "L" 75x75x6mmx2,4mts</t>
  </si>
  <si>
    <t>RETENCION PREFORMADA PARA CABLE DE ACERO GALV. 9,52mm, (3/8"), 3155kgf</t>
  </si>
  <si>
    <t>TIRA FUSIBLE</t>
  </si>
  <si>
    <t xml:space="preserve">MOVILIZACION A SITIO - IZADO DE POSTE PLASTICO REFORZADO CON FIBRA DE VIDRIO DE 10 a 12 M, A MANO </t>
  </si>
  <si>
    <t>CARGA, TRANSPORTE Y DESCARGA DE POSTES DE FIBRA DE VIDRIO</t>
  </si>
  <si>
    <t>IZADO DE POSTE DE H.A. DE 9 A 12 M A MANO</t>
  </si>
  <si>
    <t>EQUIPO MEDICIÓN 13A 127-220V</t>
  </si>
  <si>
    <t>MEDIDOR MONOFÁSICO ELECTRONICO 13A-127-220V-100AMP</t>
  </si>
  <si>
    <t>Conector de Cu a golpe de martillo</t>
  </si>
  <si>
    <t>EQUIPO MEDICIÓN 13A 127-220V (Incluye caja de protección y puesta a tierra)</t>
  </si>
  <si>
    <t>LOSETA SUPERIOR PARA TUBO POSTE DE 50x50x20cm</t>
  </si>
  <si>
    <t>POSTE HORMIGÓN ARMADO CIRCULAR 12 M X  2000 KG (autosoportante)</t>
  </si>
  <si>
    <t>POSTE HORMIGÓN ARMADO CIRCULAR 10 M, 2000 KG (autosoportante)</t>
  </si>
  <si>
    <t>POSTE HORMIGÓN ARMADO CIRCULAR 12 M X 2000 KG AUTOSOPORTANTE</t>
  </si>
  <si>
    <t>PO0-0HC12_2000</t>
  </si>
  <si>
    <t>POSTE HORMIGÓN ARMADO CIRCULAR 10 M X 2000 KG</t>
  </si>
  <si>
    <t>ACCESORIOS PARA CONDUCTORES Y CABLES</t>
  </si>
  <si>
    <t>SUELDA EXOTERMICA</t>
  </si>
  <si>
    <t>CONECTOR DE Cu A GOLPE DE MARTILLO</t>
  </si>
  <si>
    <t>TUBO POSTE DE  Fe GALVANIZADO 2 1/2" x 2mm x 6m</t>
  </si>
  <si>
    <t>SUBTOTAL PRESUPUESTO MANO DE OBRA</t>
  </si>
  <si>
    <t>ESTRUCTURA  PT PARA MEDIDORES</t>
  </si>
  <si>
    <t>ESTRUCTURA  PT PARA TRANSFORMADORES</t>
  </si>
  <si>
    <t>PUESTA TIERRA PARA MEDIDORES</t>
  </si>
  <si>
    <t>CONDUCTOR COBRE AISLADO #8 AWG 7 HILOS</t>
  </si>
  <si>
    <t>INSTALACION DE ACOMETIDA + MEDIDOR MONOFASICO 127-220V + PUESTA A TIERRA</t>
  </si>
  <si>
    <t>CAJA DE BREAKER DE 2 POLOS DE 2-4</t>
  </si>
  <si>
    <t>TUBO METALICO EMT 1/2" INCLUYE 3 GRAPAS METALICA</t>
  </si>
  <si>
    <t>CABLE TRIPLEX 3x2 AWG, 600V</t>
  </si>
  <si>
    <t>CO0-0J3x2</t>
  </si>
  <si>
    <t>Conductor Multiplex Al 3x2 AWG</t>
  </si>
  <si>
    <t>CODIGO CATEGORIA CPC</t>
  </si>
  <si>
    <t>TIPO DE COMPRA</t>
  </si>
  <si>
    <t>DETALLE DEL PRODUCTO</t>
  </si>
  <si>
    <t>CANTIDAD ANUAL</t>
  </si>
  <si>
    <t>COSTO UNITARIO</t>
  </si>
  <si>
    <t>ORIGEN DE LOS INSUMOS (USD Y %)</t>
  </si>
  <si>
    <t>USD</t>
  </si>
  <si>
    <t>%</t>
  </si>
  <si>
    <t>Defina el monto a contratar Año 1</t>
  </si>
  <si>
    <t>Obra</t>
  </si>
  <si>
    <t>Global</t>
  </si>
  <si>
    <t>EXCAVACIÓN A MANO PARA POSTES AUTOSOPORTANTES</t>
  </si>
  <si>
    <t>m3</t>
  </si>
  <si>
    <t>Seccionador  tipo abierto, 100 A, con dispositivo rompearco, BIL 75 Kv</t>
  </si>
  <si>
    <t>Seccionador  tipo abierto, 200 A, con dispositivo rompearco,  BIL 75 kV</t>
  </si>
  <si>
    <t>Transformador 5 kVA, 13800 GRdY / 7960</t>
  </si>
  <si>
    <t>Transformador 10 kVA, 13800 GRdY / 7960</t>
  </si>
  <si>
    <t>Transformador 15 kVA, 13800 GRdY / 7960</t>
  </si>
  <si>
    <t>Transformador 25 kVA, 13800 GRdY / 7960</t>
  </si>
  <si>
    <t>Transformador 37.5 kVA, 13800 GRdY/7960</t>
  </si>
  <si>
    <t>Transformador 50 kVA, 13800 GRdY / 7960</t>
  </si>
  <si>
    <t>Tirafusible cabeza removible, tipo H, 10 A</t>
  </si>
  <si>
    <t>ESTRIBO DE ALEACION Cu- Sn, PARA DERIVACION</t>
  </si>
  <si>
    <t>LUMINARIA CON LÁMPARA DE ALTA PRESIÓN NA DE 100W POTENCIA CONSTANTE, CON BRAZO PARA MONTAJE EN POSTE, 240/120V, AUTOCONTROLADA</t>
  </si>
  <si>
    <t>LUMINARIA CON LÁMPARA DE ALTA PRESIÓN NA DE 150W POTENCIA CONSTANTE, CON BRAZO PARA MONTAJE EN POSTE, 240/120V, AUTOCONTROLADA</t>
  </si>
  <si>
    <t>AISLADOR SUSPENSION ANSI 52-1</t>
  </si>
  <si>
    <t xml:space="preserve">AISLADOR TIPO ESPIGA (PIN), DE PORCELANA, CLASE ANSI 56-1, 25 kV </t>
  </si>
  <si>
    <t>CABLE TRIPLEX 3x2 ACSR AWG, 600V</t>
  </si>
  <si>
    <t xml:space="preserve">Cable de Cu cableado suave #6 AWG, 7 hilos </t>
  </si>
  <si>
    <t>AMORTIGUADOR DE VIBRACION PREFORMADO CONDUCTOR ACSR 2/0</t>
  </si>
  <si>
    <t>AMORTIGUADOR DE VIBRACION PREFORMADO CONDUCTOR ACSR 3/0</t>
  </si>
  <si>
    <t>Varilla para puesta a tierra tipo copperweld, 16 mm (5/8") de diám. x 1800 mm (71") de long., de alta camada</t>
  </si>
  <si>
    <t>POSTE HORMIGÓN ARMADO CIRCULAR 14 M X  2000 KG (autosoportante)</t>
  </si>
  <si>
    <t>Poste circular de plástico reforzado con fibra de vidrio, 10 m, 400 kg</t>
  </si>
  <si>
    <t>Poste circular de plástico reforzado con fibra de vidrio, 10 m, 2000 kg  (Autosoportable)</t>
  </si>
  <si>
    <t>Poste circular de plástico reforzado con fibra de vidrio, 12 m, 2000 kg   (Autosoportable)</t>
  </si>
  <si>
    <t xml:space="preserve">Grapa terminal apernada tipo pistola, de aleación de Al 6 - 3/0 Conductor ACSR </t>
  </si>
  <si>
    <t>CONECTOR RANURA PARALELA CU-AL BURNDY 2-4/0</t>
  </si>
  <si>
    <t>GRAPA ANGULAR APERNADA DE ALEACION  Al 5,08 - 15,75 mm (6 - 4/0 AWG)</t>
  </si>
  <si>
    <t>TUERCA DE OJO OVALADO DE ACERO GALVANIZADO, PARA PERNO DE 16 mm (5/8") DE DIAM.</t>
  </si>
  <si>
    <t>GUARDACABO DE ACERO GALVANIZADO PARA CABLE 3/8", PESADO</t>
  </si>
  <si>
    <t>BRAZO GALVANIZADO PARA TENSOR FAROL (ESTRUCTURA) 2" X 1.5 M</t>
  </si>
  <si>
    <t>GRAPA LINEA ENERGIZADA AL-CU 2-4/0 AWG</t>
  </si>
  <si>
    <t>BASTIDOR  DE ACERO GALVANIZADO 1 VIA, 38x4mm (1 1/2x11/64) CON BASE</t>
  </si>
  <si>
    <t xml:space="preserve">TENSOR MECANICO CON PERNO DE OJO, PERNO CON GRILLETE Y TUERCA DE SEGURIDAD </t>
  </si>
  <si>
    <t>PINZA SUSPENSION AUTO AJUSTABLE PARA ACOMETIDA</t>
  </si>
  <si>
    <t xml:space="preserve">REPLANTEO (Urbano marginal, incluye planos fisicos y digitales) </t>
  </si>
  <si>
    <t xml:space="preserve">REPLANTEO (Zona Rural, incluye planos fisicos y digitales) </t>
  </si>
  <si>
    <t xml:space="preserve">Longitud de via no carrozable KM:  </t>
  </si>
  <si>
    <t xml:space="preserve">Distancia Manta-Proyecto en KM (Via carrozable):  </t>
  </si>
  <si>
    <t>CO0-0B2/0</t>
  </si>
  <si>
    <t>CO0-0B3/0</t>
  </si>
  <si>
    <t>PO0-0PC10_500</t>
  </si>
  <si>
    <t>PO0-0PC10_2000</t>
  </si>
  <si>
    <t>KIT DE ACOMETIDA</t>
  </si>
  <si>
    <t>HORMIGÓN ARMADO PARA LOSETAS EN POSTES AUTOSOPORTANTES (0,8x0,8x0,2)m</t>
  </si>
  <si>
    <t>Lastre hidrocompactado con material del sitio (Mejoramiento de suelo)</t>
  </si>
  <si>
    <t>TRANSPORTE DE MANO DE 0BRA/FD=(Km/200)</t>
  </si>
  <si>
    <t>FD (Km/200)</t>
  </si>
  <si>
    <t>CAMBIO DE ACOMETIDA 240V</t>
  </si>
  <si>
    <t>REUBICACIÓN DE ACOMETIDA 240V</t>
  </si>
  <si>
    <t>CAMBIO DE MEDIDOR ( CAJA + MEDIDOR+TIERRA)</t>
  </si>
  <si>
    <t>REUBICACIÓN DE MEDIDOR ( CAJA + MEDIDOR+TIERRA)</t>
  </si>
  <si>
    <t>1:1</t>
  </si>
  <si>
    <t>NOMBRE</t>
  </si>
  <si>
    <t>FECHA</t>
  </si>
  <si>
    <t>FIRMA</t>
  </si>
  <si>
    <t>EMPRESA:</t>
  </si>
  <si>
    <t>DIBUJADO:</t>
  </si>
  <si>
    <t>REVISADO:</t>
  </si>
  <si>
    <t>ESCALA:</t>
  </si>
  <si>
    <t>NOMBRE DEL PLANO:</t>
  </si>
  <si>
    <t>SOLICITUD DEL SISDAT:</t>
  </si>
  <si>
    <r>
      <rPr>
        <b/>
        <sz val="10"/>
        <rFont val="Calibri"/>
        <family val="2"/>
        <scheme val="minor"/>
      </rPr>
      <t>LAMINA:</t>
    </r>
    <r>
      <rPr>
        <sz val="10"/>
        <rFont val="Calibri"/>
        <family val="2"/>
        <scheme val="minor"/>
      </rPr>
      <t xml:space="preserve"> 1 DE 1</t>
    </r>
  </si>
  <si>
    <t xml:space="preserve">ABONADOS </t>
  </si>
  <si>
    <t>SECCIONADORES</t>
  </si>
  <si>
    <t>TRANSFORMADORES</t>
  </si>
  <si>
    <t>RED BAJO VOLTAJE</t>
  </si>
  <si>
    <t>RED MEDIO VOLTAJE</t>
  </si>
  <si>
    <t>Cantidad</t>
  </si>
  <si>
    <t>Item</t>
  </si>
  <si>
    <t>Clase</t>
  </si>
  <si>
    <t>Tipo</t>
  </si>
  <si>
    <t>Bifásico</t>
  </si>
  <si>
    <t>Autocontralada</t>
  </si>
  <si>
    <t>Abierto</t>
  </si>
  <si>
    <t>Autoprotegido</t>
  </si>
  <si>
    <t>Preensamblado</t>
  </si>
  <si>
    <t>Abierta</t>
  </si>
  <si>
    <t>Ing. Marcelo García Álava</t>
  </si>
  <si>
    <t>Ing. Julio Lino Mendoza</t>
  </si>
  <si>
    <t>Profesional de Calidad MAN</t>
  </si>
  <si>
    <t>Lider de Ingeniería y Construcción MAN</t>
  </si>
  <si>
    <t>Director de Distribución</t>
  </si>
  <si>
    <t>LIDER  DE INGENIERIA Y CONSTRUCCIÓN MAN</t>
  </si>
  <si>
    <t>PROYECTO FERUM 2018</t>
  </si>
  <si>
    <t>Programa de Electrificación Rural-Urbano Marginal FERUM 2018</t>
  </si>
  <si>
    <t>No.- Proyecto F2018 :</t>
  </si>
  <si>
    <t>CRONOGRAMA AÑO 2018</t>
  </si>
  <si>
    <t>2018-134-03XX</t>
  </si>
  <si>
    <t>IVA 12%</t>
  </si>
  <si>
    <t>IVA DE FISCALIZACIÓN Y ADMINISTRACION DE TRANSPORTE 12%</t>
  </si>
  <si>
    <t>Ing. Edwin Garcia</t>
  </si>
  <si>
    <t>ING. EDWIN MENDOZA</t>
  </si>
  <si>
    <t>|</t>
  </si>
  <si>
    <r>
      <rPr>
        <b/>
        <sz val="10"/>
        <rFont val="Arial"/>
        <family val="2"/>
      </rPr>
      <t>LAMINA:</t>
    </r>
    <r>
      <rPr>
        <sz val="10"/>
        <rFont val="Arial"/>
        <family val="2"/>
      </rPr>
      <t xml:space="preserve"> 1 DE 1</t>
    </r>
  </si>
  <si>
    <t>9894694,68</t>
  </si>
  <si>
    <t>562430,38</t>
  </si>
  <si>
    <t>Bajo voltaje BV-V:</t>
  </si>
  <si>
    <t>Medio voltaje MV-KV:</t>
  </si>
  <si>
    <t>Medio voltaje MV:</t>
  </si>
  <si>
    <t>Bajo voltaje BV:</t>
  </si>
  <si>
    <t>CRONOGRAMA AÑO 2019</t>
  </si>
  <si>
    <t>TOTALIZADORES</t>
  </si>
  <si>
    <t>16</t>
  </si>
  <si>
    <t>TC, 0,6 KV, 0.5 ANSI o 0.2 IEC, Relación 200/5</t>
  </si>
  <si>
    <t>Base Socket de 6 Terminales Clase 20</t>
  </si>
  <si>
    <t>Conductor concentrico CU 6x12 AWG</t>
  </si>
  <si>
    <t>Medidor electronico kWh, KVARh y kW, clase 20, 3 hilos, 120 a 480 V, forma 4S</t>
  </si>
  <si>
    <t>Tubo EMT galvanizado 1" (3 m)</t>
  </si>
  <si>
    <t>Codo reversible 1 "</t>
  </si>
  <si>
    <t>Unión 1"</t>
  </si>
  <si>
    <t>Conector 1"</t>
  </si>
  <si>
    <t>Terminales de Punta y/o de ojo para conductor 14 AWG o 12 AWG</t>
  </si>
  <si>
    <t>Sellos de seguridad</t>
  </si>
  <si>
    <t>Instalación de medidor</t>
  </si>
  <si>
    <t>Instalaciónde Sellos en TC, Medidor y Cajas</t>
  </si>
  <si>
    <t>Cableado de Control</t>
  </si>
  <si>
    <t>Instalación de tuberia</t>
  </si>
  <si>
    <t>Instalacion de Base Socket</t>
  </si>
  <si>
    <t xml:space="preserve">Instalación de Transformadores de Corriente en baja Tensión </t>
  </si>
  <si>
    <t>Movilización</t>
  </si>
  <si>
    <t xml:space="preserve">MONTAJE DE MANO DE OBRA DE CONTADORES </t>
  </si>
  <si>
    <t>REPOTENCIACIÓN Y MODERNIZACIÓN DE LAS REDES DE DISTRIBUCIÓN PRIMARIA Y SECUNDARIA DE LA CIUDADELA SANTA FE, DEL CANTÓN CHONE, CON EL REMPLAZO DE REDES AÉREAS DENUDAS DE BAJO VOLTAJE, POR REDES PREENSAMBLADAS.</t>
  </si>
  <si>
    <t>MONTAJE DE CONDUCTOR DE ALUMINIO DESNUDO CABLEADO ACSR # 2 AWG</t>
  </si>
  <si>
    <t>MONTAJE DE CABLE PREENSAMBLADO 2X70+1X50, 600V</t>
  </si>
  <si>
    <t>MONTAJE DE ESTRUCTURA EST-1CR (UR)</t>
  </si>
  <si>
    <t>MONTAJE DE ESTRUCTURA EST-1CP (UP)</t>
  </si>
  <si>
    <t>MONTAJE DE ESTRUCTURA EST-1BD</t>
  </si>
  <si>
    <t>MONTAJE DE ESTRUCTURA 1PP3</t>
  </si>
  <si>
    <t>MONTAJE DE ESTRUCTURA 1PA3</t>
  </si>
  <si>
    <t>MONTAJE DE ESTRUCTURA 1PR3</t>
  </si>
  <si>
    <t>MONTAJE DE ESTRUCTURA EMPALME (3 CONECTORES + 6 PRECINTOS)</t>
  </si>
  <si>
    <t>MONTAJE DE ESTRUCTURA TAT-0TD</t>
  </si>
  <si>
    <t>MONTAJE DE ESTRUCTURA TAT-0TS</t>
  </si>
  <si>
    <t>MONTAJE DE ESTRUCTURA TAD-0TS</t>
  </si>
  <si>
    <t>MONTAJE DE Seccionador fusible unipolar, tipo abierto, clase 15 kV, 100 A con dispositivo rompearco</t>
  </si>
  <si>
    <t xml:space="preserve">MONTAJE DE LUMINARIAS </t>
  </si>
  <si>
    <t xml:space="preserve">MONTAJE DE MONOFÁSICO AUTOPROTEGIDO HASTA 50 KVA </t>
  </si>
  <si>
    <t>iva</t>
  </si>
  <si>
    <t>km</t>
  </si>
  <si>
    <t>material</t>
  </si>
  <si>
    <t>26</t>
  </si>
  <si>
    <t>45</t>
  </si>
  <si>
    <t>96</t>
  </si>
  <si>
    <t>50</t>
  </si>
  <si>
    <t>28</t>
  </si>
  <si>
    <t>41</t>
  </si>
  <si>
    <t>108</t>
  </si>
  <si>
    <t>54</t>
  </si>
  <si>
    <t>20</t>
  </si>
  <si>
    <t>17</t>
  </si>
  <si>
    <t>18</t>
  </si>
  <si>
    <t>19</t>
  </si>
  <si>
    <t>21</t>
  </si>
  <si>
    <t>22</t>
  </si>
  <si>
    <t>23</t>
  </si>
  <si>
    <t>24</t>
  </si>
  <si>
    <t>25</t>
  </si>
  <si>
    <t>27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</si>
  <si>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</si>
  <si>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</si>
  <si>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</si>
  <si>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</si>
  <si>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</si>
  <si>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</si>
  <si>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</si>
  <si>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</si>
  <si>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</si>
  <si>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</si>
  <si>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</si>
  <si>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</si>
  <si>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42</t>
  </si>
  <si>
    <t>43</t>
  </si>
  <si>
    <t>44</t>
  </si>
  <si>
    <t>46</t>
  </si>
  <si>
    <t>47</t>
  </si>
  <si>
    <t>48</t>
  </si>
  <si>
    <t>49</t>
  </si>
  <si>
    <t>51</t>
  </si>
  <si>
    <t>52</t>
  </si>
  <si>
    <t>53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</si>
  <si>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</si>
  <si>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</si>
  <si>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</si>
  <si>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</si>
  <si>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</si>
  <si>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</si>
  <si>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</si>
  <si>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</si>
  <si>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</si>
  <si>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</si>
  <si>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</si>
  <si>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</si>
  <si>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</si>
  <si>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</si>
  <si>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</si>
  <si>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</si>
  <si>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</si>
  <si>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</si>
  <si>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</si>
  <si>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</si>
  <si>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</si>
  <si>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</si>
  <si>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</si>
  <si>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</si>
  <si>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</si>
  <si>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</si>
  <si>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</si>
  <si>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</si>
  <si>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</si>
  <si>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</si>
  <si>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</si>
  <si>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</si>
  <si>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</si>
  <si>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</si>
  <si>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</si>
  <si>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</si>
  <si>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</si>
  <si>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</si>
  <si>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</si>
  <si>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</si>
  <si>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</si>
  <si>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</si>
  <si>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</si>
  <si>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</si>
  <si>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</si>
  <si>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</si>
  <si>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</si>
  <si>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</si>
  <si>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</si>
  <si>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</si>
  <si>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</si>
  <si>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</si>
  <si>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</si>
  <si>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</si>
  <si>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</si>
  <si>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</si>
  <si>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</si>
  <si>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</si>
  <si>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</si>
  <si>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</si>
  <si>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</si>
  <si>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</si>
  <si>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</si>
  <si>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Elaborador por:
Ing. Liliana Vélez Mendoza
Profesional de Construcción y Fiscalización</t>
  </si>
  <si>
    <t>CIUDADELA SANTA FÉ CANTÓN CHONE</t>
  </si>
  <si>
    <t>RETIRO DE POSTE DE H.A. DE 9 A 12M CON GRÚA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</si>
</sst>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_-* #,##0\ _€_-;\-* #,##0\ _€_-;_-* &quot;-&quot;\ _€_-;_-@_-"/>
    <numFmt numFmtId="167" formatCode="_-* #,##0.00\ _€_-;\-* #,##0.00\ _€_-;_-* &quot;-&quot;??\ _€_-;_-@_-"/>
    <numFmt numFmtId="168" formatCode="#,##0\ ;&quot; (&quot;#,##0\);&quot; - &quot;;@\ "/>
    <numFmt numFmtId="169" formatCode="#,##0.0\ ;&quot; (&quot;#,##0.0\);&quot; - &quot;;@\ "/>
    <numFmt numFmtId="170" formatCode="#,##0.00\ ;&quot; (&quot;#,##0.00\);&quot; -&quot;#\ ;@\ "/>
    <numFmt numFmtId="171" formatCode="#,##0.00\ ;&quot; (&quot;#,##0.00\);&quot; - &quot;;@\ "/>
    <numFmt numFmtId="172" formatCode="_ * #,##0.0000_ ;_ * \-#,##0.0000_ ;_ * &quot;-&quot;??_ ;_ @_ "/>
    <numFmt numFmtId="173" formatCode="_ * #,##0.000_ ;_ * \-#,##0.000_ ;_ * &quot;-&quot;??_ ;_ @_ "/>
    <numFmt numFmtId="174" formatCode="_-[$€-2]* #,##0.00_-;\-[$€-2]* #,##0.00_-;_-[$€-2]* &quot;-&quot;??_-"/>
    <numFmt numFmtId="175" formatCode="dd/mm/yyyy;@"/>
    <numFmt numFmtId="176" formatCode="_ * #,##0.00_ ;_ * \-#,##0.00_ ;_ * \-??_ ;_ @_ "/>
    <numFmt numFmtId="177" formatCode="_ [$€]\ * #,##0.00_ ;_ [$€]\ * \-#,##0.00_ ;_ [$€]\ * &quot;-&quot;??_ ;_ @_ "/>
    <numFmt numFmtId="178" formatCode="#,##0.00\ [$Km-C0A];\-#,##0.00\ [$Km-C0A]"/>
    <numFmt numFmtId="179" formatCode="_-* #,##0\ &quot;C10&quot;_-;\-* #,##0\ &quot;C10&quot;_-;_-* &quot;-&quot;??\ &quot; &quot;_-;_-@_-"/>
    <numFmt numFmtId="180" formatCode="_-* #,##0\ &quot;C12&quot;_-;\-* #,##0\ &quot;C12&quot;_-;_-* &quot;-&quot;??\ &quot; &quot;_-;_-@_-"/>
    <numFmt numFmtId="181" formatCode="_-* #,##0\ &quot;C14&quot;_-;\-* #,##0\ &quot;C14&quot;_-;_-* &quot;-&quot;??\ &quot; &quot;_-;_-@_-"/>
    <numFmt numFmtId="182" formatCode="_-* #,##0\ &quot;TAT-0TD&quot;_-;\-* #,##0\ &quot;TAT-0TD&quot;_-;_-* &quot;-&quot;??\ &quot; &quot;_-;_-@_-"/>
    <numFmt numFmtId="183" formatCode="_-* #,##0\ &quot;TAT-0TS&quot;_-;\-* #,##0\ &quot;TAT-0TS&quot;_-;_-* &quot;-&quot;??\ &quot; &quot;_-;_-@_-"/>
    <numFmt numFmtId="184" formatCode="_-* #,##0\ &quot;TAD-0TS&quot;_-;\-* #,##0\ &quot;TAD-0TS&quot;_-;_-* &quot;-&quot;??\ &quot; &quot;_-;_-@_-"/>
    <numFmt numFmtId="185" formatCode="_-* #,##0\ &quot;TAT-0FS&quot;_-;\-* #,##0\ &quot;TAT-0FS&quot;_-;_-* &quot;-&quot;??\ &quot; &quot;_-;_-@_-"/>
    <numFmt numFmtId="186" formatCode="_-* #,##0\ &quot;TAD-0FS&quot;_-;\-* #,##0\ &quot;TAD-0FS&quot;_-;_-* &quot;-&quot;??\ &quot; &quot;_-;_-@_-"/>
    <numFmt numFmtId="187" formatCode="_-* #,##0\ &quot;APD-0OCS100AC&quot;_-;\-* #,##0\ &quot;APD-0OCS100AC&quot;_-;_-* &quot;-&quot;??\ &quot; &quot;_-;_-@_-"/>
    <numFmt numFmtId="188" formatCode="_-* #,##0\ &quot;APD-0OCS150AC&quot;_-;\-* #,##0\ &quot;APD-0OCS150AC&quot;_-;_-* &quot;-&quot;??\ &quot; &quot;_-;_-@_-"/>
    <numFmt numFmtId="189" formatCode="_-* #,##0\ &quot;VSS&quot;_-;\-* #,##0\ &quot;VSS&quot;_-;_-* &quot;-&quot;??\ &quot; &quot;_-;_-@_-"/>
    <numFmt numFmtId="190" formatCode="_-* #,##0\ &quot;VCS&quot;_-;\-* #,##0\ &quot;VCS&quot;_-;_-* &quot;-&quot;??\ &quot; &quot;_-;_-@_-"/>
    <numFmt numFmtId="191" formatCode="_-* #,##0\ &quot;A5&quot;_-;\-* #,##0\ &quot;A5&quot;_-;_-* &quot;-&quot;??\ &quot; &quot;_-;_-@_-"/>
    <numFmt numFmtId="192" formatCode="_-* #,##0\ &quot;A10&quot;_-;\-* #,##0\ &quot;A10&quot;_-;_-* &quot;-&quot;??\ &quot; &quot;_-;_-@_-"/>
    <numFmt numFmtId="193" formatCode="_-* #,##0\ &quot;A15&quot;_-;\-* #,##0\ &quot;A15&quot;_-;_-* &quot;-&quot;??\ &quot; &quot;_-;_-@_-"/>
    <numFmt numFmtId="194" formatCode="_-* #,##0\ &quot;A25&quot;_-;\-* #,##0\ &quot;A25&quot;_-;_-* &quot;-&quot;??\ &quot; &quot;_-;_-@_-"/>
    <numFmt numFmtId="195" formatCode="_-* #,##0\ &quot;A37,5&quot;_-;\-* #,##0\ &quot;A37,5&quot;_-;_-* &quot;-&quot;??\ &quot; &quot;_-;_-@_-"/>
    <numFmt numFmtId="196" formatCode="_-* #,##0\ &quot;A50&quot;_-;\-* #,##0\ &quot;A50&quot;_-;_-* &quot;-&quot;??\ &quot; &quot;_-;_-@_-"/>
    <numFmt numFmtId="197" formatCode="_(* #,##0_);_(* \(#,##0\);_(* &quot;-&quot;??_);_(@_)"/>
    <numFmt numFmtId="198" formatCode="#,##0.000\ ;&quot; (&quot;#,##0.000\);&quot; -&quot;#.0\ ;@\ "/>
  </numFmts>
  <fonts count="9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Calibri"/>
      <family val="2"/>
    </font>
    <font>
      <b/>
      <i/>
      <sz val="12"/>
      <color indexed="62"/>
      <name val="Calibri"/>
      <family val="2"/>
    </font>
    <font>
      <b/>
      <i/>
      <sz val="10"/>
      <color indexed="62"/>
      <name val="Calibri"/>
      <family val="2"/>
    </font>
    <font>
      <sz val="24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0"/>
      <name val="Symbol"/>
      <family val="1"/>
      <charset val="2"/>
    </font>
    <font>
      <b/>
      <i/>
      <sz val="14"/>
      <name val="Calibri"/>
      <family val="2"/>
    </font>
    <font>
      <b/>
      <i/>
      <sz val="12"/>
      <name val="Calibri"/>
      <family val="2"/>
    </font>
    <font>
      <b/>
      <sz val="14"/>
      <name val="Calibri"/>
      <family val="2"/>
    </font>
    <font>
      <b/>
      <i/>
      <sz val="10"/>
      <name val="Calibri"/>
      <family val="2"/>
    </font>
    <font>
      <sz val="11"/>
      <name val="Calibri"/>
      <family val="2"/>
    </font>
    <font>
      <b/>
      <i/>
      <u/>
      <sz val="14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b/>
      <u/>
      <sz val="16"/>
      <name val="Calibri"/>
      <family val="2"/>
    </font>
    <font>
      <b/>
      <sz val="13.5"/>
      <name val="Calibri"/>
      <family val="2"/>
    </font>
    <font>
      <sz val="13.5"/>
      <name val="Calibri"/>
      <family val="2"/>
    </font>
    <font>
      <b/>
      <sz val="24"/>
      <name val="Calibri"/>
      <family val="2"/>
    </font>
    <font>
      <b/>
      <sz val="28"/>
      <name val="Calibri"/>
      <family val="2"/>
    </font>
    <font>
      <b/>
      <sz val="11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10"/>
      <name val="Calibri"/>
      <family val="2"/>
    </font>
    <font>
      <sz val="10"/>
      <color indexed="10"/>
      <name val="Calibri"/>
      <family val="2"/>
    </font>
    <font>
      <sz val="14"/>
      <color indexed="10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0"/>
      <color rgb="FFFF0000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9"/>
      <name val="Arial"/>
      <family val="2"/>
    </font>
    <font>
      <b/>
      <i/>
      <sz val="12"/>
      <color indexed="10"/>
      <name val="Calibri"/>
      <family val="2"/>
    </font>
    <font>
      <sz val="10"/>
      <color theme="0"/>
      <name val="Calibri"/>
      <family val="2"/>
    </font>
    <font>
      <b/>
      <i/>
      <sz val="12"/>
      <color rgb="FFFF0000"/>
      <name val="Calibri"/>
      <family val="2"/>
    </font>
    <font>
      <b/>
      <i/>
      <sz val="10"/>
      <color rgb="FFFF0000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Tahoma"/>
      <family val="2"/>
    </font>
    <font>
      <sz val="11"/>
      <color indexed="8"/>
      <name val="Calibri"/>
      <family val="2"/>
    </font>
    <font>
      <b/>
      <sz val="12"/>
      <name val="Calibri"/>
      <family val="2"/>
      <scheme val="minor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30"/>
      <name val="Calibri"/>
      <family val="2"/>
      <scheme val="minor"/>
    </font>
    <font>
      <b/>
      <sz val="18"/>
      <name val="Calibri"/>
      <family val="2"/>
      <scheme val="minor"/>
    </font>
    <font>
      <sz val="9"/>
      <color indexed="81"/>
      <name val="Tahoma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b/>
      <sz val="8"/>
      <name val="Calibri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Times New Roman"/>
      <family val="1"/>
    </font>
    <font>
      <sz val="26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26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Swis721 BT"/>
      <family val="2"/>
    </font>
    <font>
      <sz val="12"/>
      <name val="Calibri"/>
      <family val="2"/>
      <scheme val="minor"/>
    </font>
    <font>
      <b/>
      <i/>
      <u/>
      <sz val="12"/>
      <name val="Calibri"/>
      <family val="2"/>
    </font>
    <font>
      <b/>
      <sz val="1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D0D8E4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8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3777">
    <xf numFmtId="4" fontId="0" fillId="0" borderId="0"/>
    <xf numFmtId="40" fontId="8" fillId="0" borderId="0" applyFill="0" applyBorder="0" applyAlignment="0" applyProtection="0"/>
    <xf numFmtId="4" fontId="8" fillId="0" borderId="0" applyProtection="0"/>
    <xf numFmtId="9" fontId="7" fillId="0" borderId="0" applyFill="0" applyBorder="0" applyAlignment="0" applyProtection="0"/>
    <xf numFmtId="43" fontId="38" fillId="0" borderId="0" applyFont="0" applyFill="0" applyBorder="0" applyAlignment="0" applyProtection="0"/>
    <xf numFmtId="0" fontId="7" fillId="0" borderId="0"/>
    <xf numFmtId="0" fontId="7" fillId="0" borderId="0"/>
    <xf numFmtId="43" fontId="38" fillId="0" borderId="0" applyFont="0" applyFill="0" applyBorder="0" applyAlignment="0" applyProtection="0"/>
    <xf numFmtId="0" fontId="7" fillId="0" borderId="0"/>
    <xf numFmtId="0" fontId="7" fillId="0" borderId="0"/>
    <xf numFmtId="43" fontId="38" fillId="0" borderId="0" applyFont="0" applyFill="0" applyBorder="0" applyAlignment="0" applyProtection="0"/>
    <xf numFmtId="0" fontId="7" fillId="0" borderId="0"/>
    <xf numFmtId="0" fontId="7" fillId="0" borderId="0"/>
    <xf numFmtId="43" fontId="38" fillId="0" borderId="0" applyFont="0" applyFill="0" applyBorder="0" applyAlignment="0" applyProtection="0"/>
    <xf numFmtId="0" fontId="7" fillId="0" borderId="0"/>
    <xf numFmtId="0" fontId="7" fillId="0" borderId="0"/>
    <xf numFmtId="43" fontId="38" fillId="0" borderId="0" applyFont="0" applyFill="0" applyBorder="0" applyAlignment="0" applyProtection="0"/>
    <xf numFmtId="0" fontId="7" fillId="0" borderId="0"/>
    <xf numFmtId="0" fontId="7" fillId="0" borderId="0"/>
    <xf numFmtId="43" fontId="38" fillId="0" borderId="0" applyFont="0" applyFill="0" applyBorder="0" applyAlignment="0" applyProtection="0"/>
    <xf numFmtId="0" fontId="7" fillId="0" borderId="0"/>
    <xf numFmtId="0" fontId="7" fillId="0" borderId="0"/>
    <xf numFmtId="0" fontId="41" fillId="0" borderId="0"/>
    <xf numFmtId="0" fontId="42" fillId="4" borderId="0" applyNumberFormat="0" applyBorder="0" applyAlignment="0" applyProtection="0"/>
    <xf numFmtId="0" fontId="43" fillId="6" borderId="46" applyNumberFormat="0" applyAlignment="0" applyProtection="0"/>
    <xf numFmtId="0" fontId="44" fillId="0" borderId="47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45" applyNumberFormat="0" applyAlignment="0" applyProtection="0"/>
    <xf numFmtId="164" fontId="7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7" fillId="7" borderId="0" applyNumberFormat="0" applyBorder="0" applyAlignment="0" applyProtection="0"/>
    <xf numFmtId="0" fontId="7" fillId="0" borderId="0"/>
    <xf numFmtId="0" fontId="6" fillId="0" borderId="0"/>
    <xf numFmtId="0" fontId="7" fillId="8" borderId="48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41" fillId="0" borderId="0"/>
    <xf numFmtId="0" fontId="42" fillId="4" borderId="0" applyNumberFormat="0" applyBorder="0" applyAlignment="0" applyProtection="0"/>
    <xf numFmtId="0" fontId="43" fillId="6" borderId="46" applyNumberFormat="0" applyAlignment="0" applyProtection="0"/>
    <xf numFmtId="0" fontId="44" fillId="0" borderId="47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45" applyNumberFormat="0" applyAlignment="0" applyProtection="0"/>
    <xf numFmtId="0" fontId="43" fillId="6" borderId="46" applyNumberFormat="0" applyAlignment="0" applyProtection="0"/>
    <xf numFmtId="164" fontId="7" fillId="0" borderId="0" applyFont="0" applyFill="0" applyBorder="0" applyAlignment="0" applyProtection="0"/>
    <xf numFmtId="0" fontId="42" fillId="4" borderId="0" applyNumberFormat="0" applyBorder="0" applyAlignment="0" applyProtection="0"/>
    <xf numFmtId="0" fontId="47" fillId="7" borderId="0" applyNumberFormat="0" applyBorder="0" applyAlignment="0" applyProtection="0"/>
    <xf numFmtId="0" fontId="7" fillId="0" borderId="0"/>
    <xf numFmtId="0" fontId="6" fillId="0" borderId="0"/>
    <xf numFmtId="0" fontId="41" fillId="0" borderId="0"/>
    <xf numFmtId="0" fontId="7" fillId="8" borderId="48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44" fillId="0" borderId="47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45" applyNumberFormat="0" applyAlignment="0" applyProtection="0"/>
    <xf numFmtId="0" fontId="43" fillId="6" borderId="46" applyNumberFormat="0" applyAlignment="0" applyProtection="0"/>
    <xf numFmtId="164" fontId="7" fillId="0" borderId="0" applyFont="0" applyFill="0" applyBorder="0" applyAlignment="0" applyProtection="0"/>
    <xf numFmtId="0" fontId="42" fillId="4" borderId="0" applyNumberFormat="0" applyBorder="0" applyAlignment="0" applyProtection="0"/>
    <xf numFmtId="0" fontId="47" fillId="7" borderId="0" applyNumberFormat="0" applyBorder="0" applyAlignment="0" applyProtection="0"/>
    <xf numFmtId="0" fontId="7" fillId="0" borderId="0"/>
    <xf numFmtId="0" fontId="6" fillId="0" borderId="0"/>
    <xf numFmtId="0" fontId="41" fillId="0" borderId="0"/>
    <xf numFmtId="0" fontId="7" fillId="8" borderId="48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44" fillId="0" borderId="47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45" applyNumberFormat="0" applyAlignment="0" applyProtection="0"/>
    <xf numFmtId="0" fontId="43" fillId="6" borderId="46" applyNumberFormat="0" applyAlignment="0" applyProtection="0"/>
    <xf numFmtId="164" fontId="7" fillId="0" borderId="0" applyFont="0" applyFill="0" applyBorder="0" applyAlignment="0" applyProtection="0"/>
    <xf numFmtId="0" fontId="42" fillId="4" borderId="0" applyNumberFormat="0" applyBorder="0" applyAlignment="0" applyProtection="0"/>
    <xf numFmtId="0" fontId="47" fillId="7" borderId="0" applyNumberFormat="0" applyBorder="0" applyAlignment="0" applyProtection="0"/>
    <xf numFmtId="0" fontId="7" fillId="0" borderId="0"/>
    <xf numFmtId="0" fontId="6" fillId="0" borderId="0"/>
    <xf numFmtId="0" fontId="41" fillId="0" borderId="0"/>
    <xf numFmtId="0" fontId="7" fillId="8" borderId="48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44" fillId="0" borderId="47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45" applyNumberFormat="0" applyAlignment="0" applyProtection="0"/>
    <xf numFmtId="0" fontId="43" fillId="6" borderId="46" applyNumberFormat="0" applyAlignment="0" applyProtection="0"/>
    <xf numFmtId="164" fontId="7" fillId="0" borderId="0" applyFont="0" applyFill="0" applyBorder="0" applyAlignment="0" applyProtection="0"/>
    <xf numFmtId="0" fontId="42" fillId="4" borderId="0" applyNumberFormat="0" applyBorder="0" applyAlignment="0" applyProtection="0"/>
    <xf numFmtId="0" fontId="47" fillId="7" borderId="0" applyNumberFormat="0" applyBorder="0" applyAlignment="0" applyProtection="0"/>
    <xf numFmtId="0" fontId="7" fillId="0" borderId="0"/>
    <xf numFmtId="0" fontId="6" fillId="0" borderId="0"/>
    <xf numFmtId="0" fontId="41" fillId="0" borderId="0"/>
    <xf numFmtId="0" fontId="7" fillId="8" borderId="48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44" fillId="0" borderId="47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45" applyNumberFormat="0" applyAlignment="0" applyProtection="0"/>
    <xf numFmtId="0" fontId="43" fillId="6" borderId="46" applyNumberFormat="0" applyAlignment="0" applyProtection="0"/>
    <xf numFmtId="164" fontId="7" fillId="0" borderId="0" applyFont="0" applyFill="0" applyBorder="0" applyAlignment="0" applyProtection="0"/>
    <xf numFmtId="0" fontId="42" fillId="4" borderId="0" applyNumberFormat="0" applyBorder="0" applyAlignment="0" applyProtection="0"/>
    <xf numFmtId="0" fontId="47" fillId="7" borderId="0" applyNumberFormat="0" applyBorder="0" applyAlignment="0" applyProtection="0"/>
    <xf numFmtId="0" fontId="7" fillId="0" borderId="0"/>
    <xf numFmtId="0" fontId="6" fillId="0" borderId="0"/>
    <xf numFmtId="0" fontId="41" fillId="0" borderId="0"/>
    <xf numFmtId="0" fontId="7" fillId="8" borderId="48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44" fillId="0" borderId="47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45" applyNumberFormat="0" applyAlignment="0" applyProtection="0"/>
    <xf numFmtId="0" fontId="43" fillId="6" borderId="46" applyNumberFormat="0" applyAlignment="0" applyProtection="0"/>
    <xf numFmtId="164" fontId="7" fillId="0" borderId="0" applyFont="0" applyFill="0" applyBorder="0" applyAlignment="0" applyProtection="0"/>
    <xf numFmtId="0" fontId="42" fillId="4" borderId="0" applyNumberFormat="0" applyBorder="0" applyAlignment="0" applyProtection="0"/>
    <xf numFmtId="0" fontId="47" fillId="7" borderId="0" applyNumberFormat="0" applyBorder="0" applyAlignment="0" applyProtection="0"/>
    <xf numFmtId="0" fontId="7" fillId="0" borderId="0"/>
    <xf numFmtId="0" fontId="6" fillId="0" borderId="0"/>
    <xf numFmtId="0" fontId="41" fillId="0" borderId="0"/>
    <xf numFmtId="0" fontId="7" fillId="8" borderId="48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44" fillId="0" borderId="47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45" applyNumberFormat="0" applyAlignment="0" applyProtection="0"/>
    <xf numFmtId="0" fontId="43" fillId="6" borderId="46" applyNumberFormat="0" applyAlignment="0" applyProtection="0"/>
    <xf numFmtId="164" fontId="7" fillId="0" borderId="0" applyFont="0" applyFill="0" applyBorder="0" applyAlignment="0" applyProtection="0"/>
    <xf numFmtId="0" fontId="42" fillId="4" borderId="0" applyNumberFormat="0" applyBorder="0" applyAlignment="0" applyProtection="0"/>
    <xf numFmtId="0" fontId="47" fillId="7" borderId="0" applyNumberFormat="0" applyBorder="0" applyAlignment="0" applyProtection="0"/>
    <xf numFmtId="0" fontId="7" fillId="0" borderId="0"/>
    <xf numFmtId="0" fontId="6" fillId="0" borderId="0"/>
    <xf numFmtId="0" fontId="41" fillId="0" borderId="0"/>
    <xf numFmtId="0" fontId="7" fillId="8" borderId="48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44" fillId="0" borderId="47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45" applyNumberFormat="0" applyAlignment="0" applyProtection="0"/>
    <xf numFmtId="164" fontId="7" fillId="0" borderId="0" applyFont="0" applyFill="0" applyBorder="0" applyAlignment="0" applyProtection="0"/>
    <xf numFmtId="0" fontId="47" fillId="7" borderId="0" applyNumberFormat="0" applyBorder="0" applyAlignment="0" applyProtection="0"/>
    <xf numFmtId="0" fontId="7" fillId="0" borderId="0"/>
    <xf numFmtId="0" fontId="6" fillId="0" borderId="0"/>
    <xf numFmtId="0" fontId="7" fillId="8" borderId="48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41" fillId="0" borderId="0"/>
    <xf numFmtId="0" fontId="42" fillId="4" borderId="0" applyNumberFormat="0" applyBorder="0" applyAlignment="0" applyProtection="0"/>
    <xf numFmtId="0" fontId="43" fillId="6" borderId="46" applyNumberFormat="0" applyAlignment="0" applyProtection="0"/>
    <xf numFmtId="0" fontId="44" fillId="0" borderId="47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45" applyNumberFormat="0" applyAlignment="0" applyProtection="0"/>
    <xf numFmtId="164" fontId="7" fillId="0" borderId="0" applyFont="0" applyFill="0" applyBorder="0" applyAlignment="0" applyProtection="0"/>
    <xf numFmtId="0" fontId="41" fillId="0" borderId="0"/>
    <xf numFmtId="0" fontId="47" fillId="7" borderId="0" applyNumberFormat="0" applyBorder="0" applyAlignment="0" applyProtection="0"/>
    <xf numFmtId="0" fontId="7" fillId="0" borderId="0"/>
    <xf numFmtId="0" fontId="5" fillId="0" borderId="0"/>
    <xf numFmtId="0" fontId="7" fillId="8" borderId="48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42" fillId="4" borderId="0" applyNumberFormat="0" applyBorder="0" applyAlignment="0" applyProtection="0"/>
    <xf numFmtId="0" fontId="43" fillId="6" borderId="46" applyNumberFormat="0" applyAlignment="0" applyProtection="0"/>
    <xf numFmtId="0" fontId="44" fillId="0" borderId="47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45" applyNumberFormat="0" applyAlignment="0" applyProtection="0"/>
    <xf numFmtId="0" fontId="43" fillId="6" borderId="46" applyNumberFormat="0" applyAlignment="0" applyProtection="0"/>
    <xf numFmtId="164" fontId="7" fillId="0" borderId="0" applyFont="0" applyFill="0" applyBorder="0" applyAlignment="0" applyProtection="0"/>
    <xf numFmtId="0" fontId="42" fillId="4" borderId="0" applyNumberFormat="0" applyBorder="0" applyAlignment="0" applyProtection="0"/>
    <xf numFmtId="0" fontId="47" fillId="7" borderId="0" applyNumberFormat="0" applyBorder="0" applyAlignment="0" applyProtection="0"/>
    <xf numFmtId="0" fontId="7" fillId="0" borderId="0"/>
    <xf numFmtId="0" fontId="5" fillId="0" borderId="0"/>
    <xf numFmtId="0" fontId="41" fillId="0" borderId="0"/>
    <xf numFmtId="0" fontId="7" fillId="8" borderId="48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44" fillId="0" borderId="47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45" applyNumberFormat="0" applyAlignment="0" applyProtection="0"/>
    <xf numFmtId="0" fontId="43" fillId="6" borderId="46" applyNumberFormat="0" applyAlignment="0" applyProtection="0"/>
    <xf numFmtId="164" fontId="7" fillId="0" borderId="0" applyFont="0" applyFill="0" applyBorder="0" applyAlignment="0" applyProtection="0"/>
    <xf numFmtId="0" fontId="42" fillId="4" borderId="0" applyNumberFormat="0" applyBorder="0" applyAlignment="0" applyProtection="0"/>
    <xf numFmtId="0" fontId="47" fillId="7" borderId="0" applyNumberFormat="0" applyBorder="0" applyAlignment="0" applyProtection="0"/>
    <xf numFmtId="0" fontId="7" fillId="0" borderId="0"/>
    <xf numFmtId="0" fontId="5" fillId="0" borderId="0"/>
    <xf numFmtId="0" fontId="41" fillId="0" borderId="0"/>
    <xf numFmtId="0" fontId="7" fillId="8" borderId="48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44" fillId="0" borderId="47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45" applyNumberFormat="0" applyAlignment="0" applyProtection="0"/>
    <xf numFmtId="0" fontId="43" fillId="6" borderId="46" applyNumberFormat="0" applyAlignment="0" applyProtection="0"/>
    <xf numFmtId="164" fontId="7" fillId="0" borderId="0" applyFont="0" applyFill="0" applyBorder="0" applyAlignment="0" applyProtection="0"/>
    <xf numFmtId="0" fontId="42" fillId="4" borderId="0" applyNumberFormat="0" applyBorder="0" applyAlignment="0" applyProtection="0"/>
    <xf numFmtId="0" fontId="47" fillId="7" borderId="0" applyNumberFormat="0" applyBorder="0" applyAlignment="0" applyProtection="0"/>
    <xf numFmtId="0" fontId="7" fillId="0" borderId="0"/>
    <xf numFmtId="0" fontId="5" fillId="0" borderId="0"/>
    <xf numFmtId="0" fontId="41" fillId="0" borderId="0"/>
    <xf numFmtId="0" fontId="7" fillId="8" borderId="48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44" fillId="0" borderId="47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45" applyNumberFormat="0" applyAlignment="0" applyProtection="0"/>
    <xf numFmtId="0" fontId="43" fillId="6" borderId="46" applyNumberFormat="0" applyAlignment="0" applyProtection="0"/>
    <xf numFmtId="164" fontId="7" fillId="0" borderId="0" applyFont="0" applyFill="0" applyBorder="0" applyAlignment="0" applyProtection="0"/>
    <xf numFmtId="0" fontId="42" fillId="4" borderId="0" applyNumberFormat="0" applyBorder="0" applyAlignment="0" applyProtection="0"/>
    <xf numFmtId="0" fontId="47" fillId="7" borderId="0" applyNumberFormat="0" applyBorder="0" applyAlignment="0" applyProtection="0"/>
    <xf numFmtId="0" fontId="7" fillId="0" borderId="0"/>
    <xf numFmtId="0" fontId="5" fillId="0" borderId="0"/>
    <xf numFmtId="0" fontId="41" fillId="0" borderId="0"/>
    <xf numFmtId="0" fontId="7" fillId="8" borderId="48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44" fillId="0" borderId="47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45" applyNumberFormat="0" applyAlignment="0" applyProtection="0"/>
    <xf numFmtId="0" fontId="43" fillId="6" borderId="46" applyNumberFormat="0" applyAlignment="0" applyProtection="0"/>
    <xf numFmtId="164" fontId="7" fillId="0" borderId="0" applyFont="0" applyFill="0" applyBorder="0" applyAlignment="0" applyProtection="0"/>
    <xf numFmtId="0" fontId="42" fillId="4" borderId="0" applyNumberFormat="0" applyBorder="0" applyAlignment="0" applyProtection="0"/>
    <xf numFmtId="0" fontId="47" fillId="7" borderId="0" applyNumberFormat="0" applyBorder="0" applyAlignment="0" applyProtection="0"/>
    <xf numFmtId="0" fontId="7" fillId="0" borderId="0"/>
    <xf numFmtId="0" fontId="5" fillId="0" borderId="0"/>
    <xf numFmtId="0" fontId="41" fillId="0" borderId="0"/>
    <xf numFmtId="0" fontId="7" fillId="8" borderId="48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44" fillId="0" borderId="47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45" applyNumberFormat="0" applyAlignment="0" applyProtection="0"/>
    <xf numFmtId="0" fontId="43" fillId="6" borderId="46" applyNumberFormat="0" applyAlignment="0" applyProtection="0"/>
    <xf numFmtId="164" fontId="7" fillId="0" borderId="0" applyFont="0" applyFill="0" applyBorder="0" applyAlignment="0" applyProtection="0"/>
    <xf numFmtId="0" fontId="42" fillId="4" borderId="0" applyNumberFormat="0" applyBorder="0" applyAlignment="0" applyProtection="0"/>
    <xf numFmtId="0" fontId="47" fillId="7" borderId="0" applyNumberFormat="0" applyBorder="0" applyAlignment="0" applyProtection="0"/>
    <xf numFmtId="0" fontId="7" fillId="0" borderId="0"/>
    <xf numFmtId="0" fontId="5" fillId="0" borderId="0"/>
    <xf numFmtId="0" fontId="41" fillId="0" borderId="0"/>
    <xf numFmtId="0" fontId="7" fillId="8" borderId="48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44" fillId="0" borderId="47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45" applyNumberFormat="0" applyAlignment="0" applyProtection="0"/>
    <xf numFmtId="0" fontId="43" fillId="6" borderId="46" applyNumberFormat="0" applyAlignment="0" applyProtection="0"/>
    <xf numFmtId="164" fontId="7" fillId="0" borderId="0" applyFont="0" applyFill="0" applyBorder="0" applyAlignment="0" applyProtection="0"/>
    <xf numFmtId="0" fontId="42" fillId="4" borderId="0" applyNumberFormat="0" applyBorder="0" applyAlignment="0" applyProtection="0"/>
    <xf numFmtId="0" fontId="47" fillId="7" borderId="0" applyNumberFormat="0" applyBorder="0" applyAlignment="0" applyProtection="0"/>
    <xf numFmtId="0" fontId="7" fillId="0" borderId="0"/>
    <xf numFmtId="0" fontId="5" fillId="0" borderId="0"/>
    <xf numFmtId="0" fontId="41" fillId="0" borderId="0"/>
    <xf numFmtId="0" fontId="7" fillId="8" borderId="48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44" fillId="0" borderId="47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45" applyNumberFormat="0" applyAlignment="0" applyProtection="0"/>
    <xf numFmtId="0" fontId="43" fillId="6" borderId="46" applyNumberFormat="0" applyAlignment="0" applyProtection="0"/>
    <xf numFmtId="164" fontId="7" fillId="0" borderId="0" applyFont="0" applyFill="0" applyBorder="0" applyAlignment="0" applyProtection="0"/>
    <xf numFmtId="0" fontId="42" fillId="4" borderId="0" applyNumberFormat="0" applyBorder="0" applyAlignment="0" applyProtection="0"/>
    <xf numFmtId="0" fontId="47" fillId="7" borderId="0" applyNumberFormat="0" applyBorder="0" applyAlignment="0" applyProtection="0"/>
    <xf numFmtId="0" fontId="7" fillId="0" borderId="0"/>
    <xf numFmtId="0" fontId="5" fillId="0" borderId="0"/>
    <xf numFmtId="0" fontId="41" fillId="0" borderId="0"/>
    <xf numFmtId="0" fontId="7" fillId="8" borderId="48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44" fillId="0" borderId="47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45" applyNumberFormat="0" applyAlignment="0" applyProtection="0"/>
    <xf numFmtId="0" fontId="43" fillId="6" borderId="46" applyNumberFormat="0" applyAlignment="0" applyProtection="0"/>
    <xf numFmtId="164" fontId="7" fillId="0" borderId="0" applyFont="0" applyFill="0" applyBorder="0" applyAlignment="0" applyProtection="0"/>
    <xf numFmtId="0" fontId="42" fillId="4" borderId="0" applyNumberFormat="0" applyBorder="0" applyAlignment="0" applyProtection="0"/>
    <xf numFmtId="0" fontId="47" fillId="7" borderId="0" applyNumberFormat="0" applyBorder="0" applyAlignment="0" applyProtection="0"/>
    <xf numFmtId="0" fontId="7" fillId="0" borderId="0"/>
    <xf numFmtId="0" fontId="5" fillId="0" borderId="0"/>
    <xf numFmtId="0" fontId="41" fillId="0" borderId="0"/>
    <xf numFmtId="0" fontId="7" fillId="8" borderId="48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44" fillId="0" borderId="47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45" applyNumberFormat="0" applyAlignment="0" applyProtection="0"/>
    <xf numFmtId="0" fontId="43" fillId="6" borderId="46" applyNumberFormat="0" applyAlignment="0" applyProtection="0"/>
    <xf numFmtId="164" fontId="7" fillId="0" borderId="0" applyFont="0" applyFill="0" applyBorder="0" applyAlignment="0" applyProtection="0"/>
    <xf numFmtId="0" fontId="42" fillId="4" borderId="0" applyNumberFormat="0" applyBorder="0" applyAlignment="0" applyProtection="0"/>
    <xf numFmtId="0" fontId="47" fillId="7" borderId="0" applyNumberFormat="0" applyBorder="0" applyAlignment="0" applyProtection="0"/>
    <xf numFmtId="0" fontId="7" fillId="0" borderId="0"/>
    <xf numFmtId="0" fontId="5" fillId="0" borderId="0"/>
    <xf numFmtId="0" fontId="41" fillId="0" borderId="0"/>
    <xf numFmtId="0" fontId="7" fillId="8" borderId="48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44" fillId="0" borderId="47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45" applyNumberFormat="0" applyAlignment="0" applyProtection="0"/>
    <xf numFmtId="0" fontId="43" fillId="6" borderId="46" applyNumberFormat="0" applyAlignment="0" applyProtection="0"/>
    <xf numFmtId="164" fontId="7" fillId="0" borderId="0" applyFont="0" applyFill="0" applyBorder="0" applyAlignment="0" applyProtection="0"/>
    <xf numFmtId="0" fontId="42" fillId="4" borderId="0" applyNumberFormat="0" applyBorder="0" applyAlignment="0" applyProtection="0"/>
    <xf numFmtId="0" fontId="47" fillId="7" borderId="0" applyNumberFormat="0" applyBorder="0" applyAlignment="0" applyProtection="0"/>
    <xf numFmtId="0" fontId="7" fillId="0" borderId="0"/>
    <xf numFmtId="0" fontId="5" fillId="0" borderId="0"/>
    <xf numFmtId="0" fontId="41" fillId="0" borderId="0"/>
    <xf numFmtId="0" fontId="7" fillId="8" borderId="48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44" fillId="0" borderId="47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45" applyNumberFormat="0" applyAlignment="0" applyProtection="0"/>
    <xf numFmtId="0" fontId="43" fillId="6" borderId="46" applyNumberFormat="0" applyAlignment="0" applyProtection="0"/>
    <xf numFmtId="164" fontId="7" fillId="0" borderId="0" applyFont="0" applyFill="0" applyBorder="0" applyAlignment="0" applyProtection="0"/>
    <xf numFmtId="0" fontId="42" fillId="4" borderId="0" applyNumberFormat="0" applyBorder="0" applyAlignment="0" applyProtection="0"/>
    <xf numFmtId="0" fontId="47" fillId="7" borderId="0" applyNumberFormat="0" applyBorder="0" applyAlignment="0" applyProtection="0"/>
    <xf numFmtId="0" fontId="7" fillId="0" borderId="0"/>
    <xf numFmtId="0" fontId="5" fillId="0" borderId="0"/>
    <xf numFmtId="0" fontId="41" fillId="0" borderId="0"/>
    <xf numFmtId="0" fontId="7" fillId="8" borderId="48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44" fillId="0" borderId="47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45" applyNumberFormat="0" applyAlignment="0" applyProtection="0"/>
    <xf numFmtId="0" fontId="43" fillId="6" borderId="46" applyNumberFormat="0" applyAlignment="0" applyProtection="0"/>
    <xf numFmtId="164" fontId="7" fillId="0" borderId="0" applyFont="0" applyFill="0" applyBorder="0" applyAlignment="0" applyProtection="0"/>
    <xf numFmtId="0" fontId="42" fillId="4" borderId="0" applyNumberFormat="0" applyBorder="0" applyAlignment="0" applyProtection="0"/>
    <xf numFmtId="0" fontId="47" fillId="7" borderId="0" applyNumberFormat="0" applyBorder="0" applyAlignment="0" applyProtection="0"/>
    <xf numFmtId="0" fontId="7" fillId="0" borderId="0"/>
    <xf numFmtId="0" fontId="5" fillId="0" borderId="0"/>
    <xf numFmtId="0" fontId="41" fillId="0" borderId="0"/>
    <xf numFmtId="0" fontId="7" fillId="8" borderId="48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44" fillId="0" borderId="47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45" applyNumberFormat="0" applyAlignment="0" applyProtection="0"/>
    <xf numFmtId="164" fontId="7" fillId="0" borderId="0" applyFont="0" applyFill="0" applyBorder="0" applyAlignment="0" applyProtection="0"/>
    <xf numFmtId="0" fontId="47" fillId="7" borderId="0" applyNumberFormat="0" applyBorder="0" applyAlignment="0" applyProtection="0"/>
    <xf numFmtId="0" fontId="7" fillId="0" borderId="0"/>
    <xf numFmtId="0" fontId="5" fillId="0" borderId="0"/>
    <xf numFmtId="0" fontId="7" fillId="8" borderId="48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41" fillId="0" borderId="0"/>
    <xf numFmtId="0" fontId="42" fillId="4" borderId="0" applyNumberFormat="0" applyBorder="0" applyAlignment="0" applyProtection="0"/>
    <xf numFmtId="0" fontId="7" fillId="0" borderId="0"/>
    <xf numFmtId="0" fontId="48" fillId="0" borderId="0" applyNumberFormat="0" applyFill="0" applyBorder="0" applyAlignment="0" applyProtection="0"/>
    <xf numFmtId="0" fontId="4" fillId="0" borderId="0"/>
    <xf numFmtId="0" fontId="4" fillId="0" borderId="0"/>
    <xf numFmtId="0" fontId="44" fillId="0" borderId="47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6" borderId="46" applyNumberFormat="0" applyAlignment="0" applyProtection="0"/>
    <xf numFmtId="0" fontId="4" fillId="0" borderId="0"/>
    <xf numFmtId="0" fontId="4" fillId="0" borderId="0"/>
    <xf numFmtId="0" fontId="4" fillId="0" borderId="0"/>
    <xf numFmtId="0" fontId="7" fillId="8" borderId="4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7" fillId="0" borderId="0"/>
    <xf numFmtId="0" fontId="45" fillId="0" borderId="0" applyNumberFormat="0" applyFill="0" applyBorder="0" applyAlignment="0" applyProtection="0"/>
    <xf numFmtId="0" fontId="46" fillId="5" borderId="45" applyNumberFormat="0" applyAlignment="0" applyProtection="0"/>
    <xf numFmtId="0" fontId="4" fillId="0" borderId="0"/>
    <xf numFmtId="0" fontId="4" fillId="0" borderId="0"/>
    <xf numFmtId="0" fontId="7" fillId="0" borderId="0"/>
    <xf numFmtId="4" fontId="8" fillId="0" borderId="0" applyProtection="0"/>
    <xf numFmtId="4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47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6" fillId="5" borderId="45" applyNumberFormat="0" applyAlignment="0" applyProtection="0"/>
    <xf numFmtId="0" fontId="46" fillId="5" borderId="45" applyNumberFormat="0" applyAlignment="0" applyProtection="0"/>
    <xf numFmtId="0" fontId="7" fillId="0" borderId="0"/>
    <xf numFmtId="4" fontId="8" fillId="0" borderId="0" applyProtection="0"/>
    <xf numFmtId="0" fontId="45" fillId="0" borderId="0" applyNumberFormat="0" applyFill="0" applyBorder="0" applyAlignment="0" applyProtection="0"/>
    <xf numFmtId="4" fontId="7" fillId="0" borderId="0"/>
    <xf numFmtId="0" fontId="7" fillId="0" borderId="0"/>
    <xf numFmtId="0" fontId="46" fillId="5" borderId="45" applyNumberFormat="0" applyAlignment="0" applyProtection="0"/>
    <xf numFmtId="164" fontId="7" fillId="0" borderId="0" applyFont="0" applyFill="0" applyBorder="0" applyAlignment="0" applyProtection="0"/>
    <xf numFmtId="0" fontId="7" fillId="0" borderId="0"/>
    <xf numFmtId="4" fontId="8" fillId="0" borderId="0" applyProtection="0"/>
    <xf numFmtId="4" fontId="7" fillId="0" borderId="0"/>
    <xf numFmtId="164" fontId="7" fillId="0" borderId="0" applyFont="0" applyFill="0" applyBorder="0" applyAlignment="0" applyProtection="0"/>
    <xf numFmtId="0" fontId="7" fillId="0" borderId="0"/>
    <xf numFmtId="0" fontId="46" fillId="5" borderId="45" applyNumberFormat="0" applyAlignment="0" applyProtection="0"/>
    <xf numFmtId="0" fontId="7" fillId="0" borderId="0"/>
    <xf numFmtId="4" fontId="8" fillId="0" borderId="0" applyProtection="0"/>
    <xf numFmtId="4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4" fontId="8" fillId="0" borderId="0" applyProtection="0"/>
    <xf numFmtId="4" fontId="7" fillId="0" borderId="0"/>
    <xf numFmtId="0" fontId="46" fillId="5" borderId="45" applyNumberFormat="0" applyAlignment="0" applyProtection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7" fillId="7" borderId="0" applyNumberFormat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7" fillId="7" borderId="0" applyNumberFormat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7" fillId="7" borderId="0" applyNumberFormat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164" fontId="7" fillId="0" borderId="0" applyFont="0" applyFill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164" fontId="41" fillId="0" borderId="0" applyFont="0" applyFill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4" fontId="7" fillId="0" borderId="0"/>
    <xf numFmtId="4" fontId="8" fillId="0" borderId="0" applyProtection="0"/>
    <xf numFmtId="0" fontId="7" fillId="0" borderId="0"/>
    <xf numFmtId="164" fontId="7" fillId="0" borderId="0" applyFont="0" applyFill="0" applyBorder="0" applyAlignment="0" applyProtection="0"/>
    <xf numFmtId="4" fontId="7" fillId="0" borderId="0"/>
    <xf numFmtId="4" fontId="8" fillId="0" borderId="0" applyProtection="0"/>
    <xf numFmtId="0" fontId="7" fillId="0" borderId="0"/>
    <xf numFmtId="164" fontId="7" fillId="0" borderId="0" applyFont="0" applyFill="0" applyBorder="0" applyAlignment="0" applyProtection="0"/>
    <xf numFmtId="0" fontId="46" fillId="5" borderId="45" applyNumberFormat="0" applyAlignment="0" applyProtection="0"/>
    <xf numFmtId="0" fontId="7" fillId="0" borderId="0"/>
    <xf numFmtId="164" fontId="7" fillId="0" borderId="0" applyFont="0" applyFill="0" applyBorder="0" applyAlignment="0" applyProtection="0"/>
    <xf numFmtId="4" fontId="7" fillId="0" borderId="0"/>
    <xf numFmtId="4" fontId="8" fillId="0" borderId="0" applyProtection="0"/>
    <xf numFmtId="0" fontId="7" fillId="0" borderId="0"/>
    <xf numFmtId="164" fontId="7" fillId="0" borderId="0" applyFont="0" applyFill="0" applyBorder="0" applyAlignment="0" applyProtection="0"/>
    <xf numFmtId="0" fontId="46" fillId="5" borderId="45" applyNumberFormat="0" applyAlignment="0" applyProtection="0"/>
    <xf numFmtId="0" fontId="7" fillId="0" borderId="0"/>
    <xf numFmtId="164" fontId="7" fillId="0" borderId="0" applyFont="0" applyFill="0" applyBorder="0" applyAlignment="0" applyProtection="0"/>
    <xf numFmtId="4" fontId="7" fillId="0" borderId="0"/>
    <xf numFmtId="4" fontId="8" fillId="0" borderId="0" applyProtection="0"/>
    <xf numFmtId="0" fontId="7" fillId="0" borderId="0"/>
    <xf numFmtId="0" fontId="47" fillId="7" borderId="0" applyNumberFormat="0" applyBorder="0" applyAlignment="0" applyProtection="0"/>
    <xf numFmtId="0" fontId="46" fillId="5" borderId="45" applyNumberFormat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" fontId="7" fillId="0" borderId="0"/>
    <xf numFmtId="0" fontId="4" fillId="0" borderId="0"/>
    <xf numFmtId="0" fontId="4" fillId="0" borderId="0"/>
    <xf numFmtId="4" fontId="8" fillId="0" borderId="0" applyProtection="0"/>
    <xf numFmtId="0" fontId="7" fillId="0" borderId="0"/>
    <xf numFmtId="0" fontId="46" fillId="5" borderId="45" applyNumberFormat="0" applyAlignment="0" applyProtection="0"/>
    <xf numFmtId="0" fontId="4" fillId="0" borderId="0"/>
    <xf numFmtId="0" fontId="4" fillId="0" borderId="0"/>
    <xf numFmtId="0" fontId="41" fillId="0" borderId="0"/>
    <xf numFmtId="0" fontId="45" fillId="0" borderId="0" applyNumberFormat="0" applyFill="0" applyBorder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7" fillId="8" borderId="4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47" applyNumberFormat="0" applyFill="0" applyAlignment="0" applyProtection="0"/>
    <xf numFmtId="0" fontId="4" fillId="0" borderId="0"/>
    <xf numFmtId="0" fontId="4" fillId="0" borderId="0"/>
    <xf numFmtId="0" fontId="48" fillId="0" borderId="0" applyNumberFormat="0" applyFill="0" applyBorder="0" applyAlignment="0" applyProtection="0"/>
    <xf numFmtId="4" fontId="7" fillId="0" borderId="0"/>
    <xf numFmtId="4" fontId="8" fillId="0" borderId="0" applyProtection="0"/>
    <xf numFmtId="0" fontId="7" fillId="0" borderId="0"/>
    <xf numFmtId="0" fontId="4" fillId="0" borderId="0"/>
    <xf numFmtId="0" fontId="4" fillId="0" borderId="0"/>
    <xf numFmtId="0" fontId="46" fillId="5" borderId="45" applyNumberFormat="0" applyAlignment="0" applyProtection="0"/>
    <xf numFmtId="0" fontId="45" fillId="0" borderId="0" applyNumberFormat="0" applyFill="0" applyBorder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7" fillId="8" borderId="4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6" borderId="46" applyNumberFormat="0" applyAlignment="0" applyProtection="0"/>
    <xf numFmtId="0" fontId="4" fillId="0" borderId="0"/>
    <xf numFmtId="0" fontId="41" fillId="0" borderId="0"/>
    <xf numFmtId="0" fontId="49" fillId="0" borderId="49" applyNumberFormat="0" applyFill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47" applyNumberFormat="0" applyFill="0" applyAlignment="0" applyProtection="0"/>
    <xf numFmtId="0" fontId="4" fillId="0" borderId="0"/>
    <xf numFmtId="0" fontId="4" fillId="0" borderId="0"/>
    <xf numFmtId="0" fontId="48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4" fontId="7" fillId="0" borderId="0"/>
    <xf numFmtId="4" fontId="8" fillId="0" borderId="0" applyProtection="0"/>
    <xf numFmtId="0" fontId="7" fillId="0" borderId="0"/>
    <xf numFmtId="0" fontId="4" fillId="0" borderId="0"/>
    <xf numFmtId="0" fontId="42" fillId="4" borderId="0" applyNumberFormat="0" applyBorder="0" applyAlignment="0" applyProtection="0"/>
    <xf numFmtId="0" fontId="41" fillId="0" borderId="0"/>
    <xf numFmtId="4" fontId="7" fillId="0" borderId="0"/>
    <xf numFmtId="4" fontId="8" fillId="0" borderId="0" applyProtection="0"/>
    <xf numFmtId="0" fontId="7" fillId="0" borderId="0"/>
    <xf numFmtId="0" fontId="4" fillId="0" borderId="0"/>
    <xf numFmtId="0" fontId="4" fillId="0" borderId="0"/>
    <xf numFmtId="0" fontId="7" fillId="0" borderId="0"/>
    <xf numFmtId="0" fontId="46" fillId="5" borderId="45" applyNumberFormat="0" applyAlignment="0" applyProtection="0"/>
    <xf numFmtId="0" fontId="45" fillId="0" borderId="0" applyNumberFormat="0" applyFill="0" applyBorder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7" fillId="8" borderId="4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6" borderId="46" applyNumberFormat="0" applyAlignment="0" applyProtection="0"/>
    <xf numFmtId="0" fontId="4" fillId="0" borderId="0"/>
    <xf numFmtId="0" fontId="41" fillId="0" borderId="0"/>
    <xf numFmtId="0" fontId="49" fillId="0" borderId="49" applyNumberFormat="0" applyFill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47" applyNumberFormat="0" applyFill="0" applyAlignment="0" applyProtection="0"/>
    <xf numFmtId="0" fontId="7" fillId="0" borderId="0"/>
    <xf numFmtId="0" fontId="4" fillId="0" borderId="0"/>
    <xf numFmtId="0" fontId="4" fillId="0" borderId="0"/>
    <xf numFmtId="0" fontId="48" fillId="0" borderId="0" applyNumberFormat="0" applyFill="0" applyBorder="0" applyAlignment="0" applyProtection="0"/>
    <xf numFmtId="0" fontId="7" fillId="0" borderId="0"/>
    <xf numFmtId="4" fontId="7" fillId="0" borderId="0"/>
    <xf numFmtId="4" fontId="8" fillId="0" borderId="0" applyProtection="0"/>
    <xf numFmtId="0" fontId="7" fillId="0" borderId="0"/>
    <xf numFmtId="0" fontId="4" fillId="0" borderId="0"/>
    <xf numFmtId="0" fontId="42" fillId="4" borderId="0" applyNumberFormat="0" applyBorder="0" applyAlignment="0" applyProtection="0"/>
    <xf numFmtId="0" fontId="41" fillId="0" borderId="0"/>
    <xf numFmtId="0" fontId="4" fillId="0" borderId="0"/>
    <xf numFmtId="164" fontId="7" fillId="0" borderId="0" applyFont="0" applyFill="0" applyBorder="0" applyAlignment="0" applyProtection="0"/>
    <xf numFmtId="0" fontId="46" fillId="5" borderId="45" applyNumberFormat="0" applyAlignment="0" applyProtection="0"/>
    <xf numFmtId="0" fontId="45" fillId="0" borderId="0" applyNumberFormat="0" applyFill="0" applyBorder="0" applyAlignment="0" applyProtection="0"/>
    <xf numFmtId="0" fontId="47" fillId="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7" fillId="8" borderId="4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6" borderId="46" applyNumberFormat="0" applyAlignment="0" applyProtection="0"/>
    <xf numFmtId="0" fontId="4" fillId="0" borderId="0"/>
    <xf numFmtId="0" fontId="41" fillId="0" borderId="0"/>
    <xf numFmtId="0" fontId="49" fillId="0" borderId="49" applyNumberFormat="0" applyFill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47" applyNumberFormat="0" applyFill="0" applyAlignment="0" applyProtection="0"/>
    <xf numFmtId="0" fontId="7" fillId="0" borderId="0"/>
    <xf numFmtId="0" fontId="4" fillId="0" borderId="0"/>
    <xf numFmtId="0" fontId="4" fillId="0" borderId="0"/>
    <xf numFmtId="0" fontId="48" fillId="0" borderId="0" applyNumberFormat="0" applyFill="0" applyBorder="0" applyAlignment="0" applyProtection="0"/>
    <xf numFmtId="4" fontId="7" fillId="0" borderId="0"/>
    <xf numFmtId="4" fontId="8" fillId="0" borderId="0" applyProtection="0"/>
    <xf numFmtId="0" fontId="7" fillId="0" borderId="0"/>
    <xf numFmtId="0" fontId="4" fillId="0" borderId="0"/>
    <xf numFmtId="0" fontId="42" fillId="4" borderId="0" applyNumberFormat="0" applyBorder="0" applyAlignment="0" applyProtection="0"/>
    <xf numFmtId="0" fontId="41" fillId="0" borderId="0"/>
    <xf numFmtId="0" fontId="4" fillId="0" borderId="0"/>
    <xf numFmtId="0" fontId="7" fillId="0" borderId="0"/>
    <xf numFmtId="0" fontId="46" fillId="5" borderId="45" applyNumberFormat="0" applyAlignment="0" applyProtection="0"/>
    <xf numFmtId="0" fontId="45" fillId="0" borderId="0" applyNumberFormat="0" applyFill="0" applyBorder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7" fillId="8" borderId="4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6" borderId="46" applyNumberFormat="0" applyAlignment="0" applyProtection="0"/>
    <xf numFmtId="0" fontId="4" fillId="0" borderId="0"/>
    <xf numFmtId="0" fontId="41" fillId="0" borderId="0"/>
    <xf numFmtId="0" fontId="49" fillId="0" borderId="49" applyNumberFormat="0" applyFill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47" applyNumberFormat="0" applyFill="0" applyAlignment="0" applyProtection="0"/>
    <xf numFmtId="0" fontId="7" fillId="0" borderId="0"/>
    <xf numFmtId="0" fontId="4" fillId="0" borderId="0"/>
    <xf numFmtId="0" fontId="4" fillId="0" borderId="0"/>
    <xf numFmtId="0" fontId="48" fillId="0" borderId="0" applyNumberFormat="0" applyFill="0" applyBorder="0" applyAlignment="0" applyProtection="0"/>
    <xf numFmtId="0" fontId="7" fillId="0" borderId="0"/>
    <xf numFmtId="4" fontId="7" fillId="0" borderId="0"/>
    <xf numFmtId="4" fontId="8" fillId="0" borderId="0" applyProtection="0"/>
    <xf numFmtId="0" fontId="7" fillId="0" borderId="0"/>
    <xf numFmtId="0" fontId="4" fillId="0" borderId="0"/>
    <xf numFmtId="0" fontId="42" fillId="4" borderId="0" applyNumberFormat="0" applyBorder="0" applyAlignment="0" applyProtection="0"/>
    <xf numFmtId="0" fontId="41" fillId="0" borderId="0"/>
    <xf numFmtId="0" fontId="4" fillId="0" borderId="0"/>
    <xf numFmtId="0" fontId="46" fillId="5" borderId="45" applyNumberFormat="0" applyAlignment="0" applyProtection="0"/>
    <xf numFmtId="0" fontId="45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" fillId="8" borderId="4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6" borderId="46" applyNumberFormat="0" applyAlignment="0" applyProtection="0"/>
    <xf numFmtId="0" fontId="4" fillId="0" borderId="0"/>
    <xf numFmtId="0" fontId="41" fillId="0" borderId="0"/>
    <xf numFmtId="0" fontId="49" fillId="0" borderId="49" applyNumberFormat="0" applyFill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47" applyNumberFormat="0" applyFill="0" applyAlignment="0" applyProtection="0"/>
    <xf numFmtId="0" fontId="4" fillId="0" borderId="0"/>
    <xf numFmtId="0" fontId="4" fillId="0" borderId="0"/>
    <xf numFmtId="0" fontId="48" fillId="0" borderId="0" applyNumberFormat="0" applyFill="0" applyBorder="0" applyAlignment="0" applyProtection="0"/>
    <xf numFmtId="4" fontId="7" fillId="0" borderId="0"/>
    <xf numFmtId="4" fontId="8" fillId="0" borderId="0" applyProtection="0"/>
    <xf numFmtId="0" fontId="7" fillId="0" borderId="0"/>
    <xf numFmtId="0" fontId="4" fillId="0" borderId="0"/>
    <xf numFmtId="0" fontId="42" fillId="4" borderId="0" applyNumberFormat="0" applyBorder="0" applyAlignment="0" applyProtection="0"/>
    <xf numFmtId="0" fontId="41" fillId="0" borderId="0"/>
    <xf numFmtId="0" fontId="4" fillId="0" borderId="0"/>
    <xf numFmtId="0" fontId="7" fillId="0" borderId="0"/>
    <xf numFmtId="0" fontId="46" fillId="5" borderId="45" applyNumberFormat="0" applyAlignment="0" applyProtection="0"/>
    <xf numFmtId="0" fontId="45" fillId="0" borderId="0" applyNumberFormat="0" applyFill="0" applyBorder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7" fillId="8" borderId="4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6" borderId="46" applyNumberFormat="0" applyAlignment="0" applyProtection="0"/>
    <xf numFmtId="0" fontId="4" fillId="0" borderId="0"/>
    <xf numFmtId="0" fontId="41" fillId="0" borderId="0"/>
    <xf numFmtId="0" fontId="49" fillId="0" borderId="49" applyNumberFormat="0" applyFill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47" applyNumberFormat="0" applyFill="0" applyAlignment="0" applyProtection="0"/>
    <xf numFmtId="0" fontId="7" fillId="0" borderId="0"/>
    <xf numFmtId="0" fontId="4" fillId="0" borderId="0"/>
    <xf numFmtId="0" fontId="4" fillId="0" borderId="0"/>
    <xf numFmtId="0" fontId="48" fillId="0" borderId="0" applyNumberFormat="0" applyFill="0" applyBorder="0" applyAlignment="0" applyProtection="0"/>
    <xf numFmtId="4" fontId="7" fillId="0" borderId="0"/>
    <xf numFmtId="4" fontId="8" fillId="0" borderId="0" applyProtection="0"/>
    <xf numFmtId="0" fontId="7" fillId="0" borderId="0"/>
    <xf numFmtId="0" fontId="4" fillId="0" borderId="0"/>
    <xf numFmtId="0" fontId="42" fillId="4" borderId="0" applyNumberFormat="0" applyBorder="0" applyAlignment="0" applyProtection="0"/>
    <xf numFmtId="0" fontId="41" fillId="0" borderId="0"/>
    <xf numFmtId="0" fontId="4" fillId="0" borderId="0"/>
    <xf numFmtId="0" fontId="46" fillId="5" borderId="45" applyNumberFormat="0" applyAlignment="0" applyProtection="0"/>
    <xf numFmtId="0" fontId="45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" fillId="8" borderId="4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6" borderId="46" applyNumberFormat="0" applyAlignment="0" applyProtection="0"/>
    <xf numFmtId="0" fontId="4" fillId="0" borderId="0"/>
    <xf numFmtId="0" fontId="41" fillId="0" borderId="0"/>
    <xf numFmtId="0" fontId="49" fillId="0" borderId="49" applyNumberFormat="0" applyFill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47" applyNumberFormat="0" applyFill="0" applyAlignment="0" applyProtection="0"/>
    <xf numFmtId="0" fontId="4" fillId="0" borderId="0"/>
    <xf numFmtId="0" fontId="4" fillId="0" borderId="0"/>
    <xf numFmtId="0" fontId="48" fillId="0" borderId="0" applyNumberFormat="0" applyFill="0" applyBorder="0" applyAlignment="0" applyProtection="0"/>
    <xf numFmtId="4" fontId="7" fillId="0" borderId="0"/>
    <xf numFmtId="4" fontId="8" fillId="0" borderId="0" applyProtection="0"/>
    <xf numFmtId="0" fontId="4" fillId="0" borderId="0"/>
    <xf numFmtId="0" fontId="42" fillId="4" borderId="0" applyNumberFormat="0" applyBorder="0" applyAlignment="0" applyProtection="0"/>
    <xf numFmtId="0" fontId="41" fillId="0" borderId="0"/>
    <xf numFmtId="0" fontId="4" fillId="0" borderId="0"/>
    <xf numFmtId="0" fontId="46" fillId="5" borderId="45" applyNumberFormat="0" applyAlignment="0" applyProtection="0"/>
    <xf numFmtId="0" fontId="45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" fillId="8" borderId="4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6" borderId="46" applyNumberFormat="0" applyAlignment="0" applyProtection="0"/>
    <xf numFmtId="0" fontId="4" fillId="0" borderId="0"/>
    <xf numFmtId="0" fontId="41" fillId="0" borderId="0"/>
    <xf numFmtId="0" fontId="49" fillId="0" borderId="49" applyNumberFormat="0" applyFill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47" applyNumberFormat="0" applyFill="0" applyAlignment="0" applyProtection="0"/>
    <xf numFmtId="0" fontId="46" fillId="5" borderId="45" applyNumberFormat="0" applyAlignment="0" applyProtection="0"/>
    <xf numFmtId="0" fontId="4" fillId="0" borderId="0"/>
    <xf numFmtId="0" fontId="4" fillId="0" borderId="0"/>
    <xf numFmtId="0" fontId="48" fillId="0" borderId="0" applyNumberFormat="0" applyFill="0" applyBorder="0" applyAlignment="0" applyProtection="0"/>
    <xf numFmtId="0" fontId="46" fillId="5" borderId="45" applyNumberFormat="0" applyAlignment="0" applyProtection="0"/>
    <xf numFmtId="0" fontId="7" fillId="0" borderId="0"/>
    <xf numFmtId="0" fontId="4" fillId="0" borderId="0"/>
    <xf numFmtId="0" fontId="42" fillId="4" borderId="0" applyNumberFormat="0" applyBorder="0" applyAlignment="0" applyProtection="0"/>
    <xf numFmtId="0" fontId="41" fillId="0" borderId="0"/>
    <xf numFmtId="0" fontId="4" fillId="0" borderId="0"/>
    <xf numFmtId="0" fontId="7" fillId="0" borderId="0"/>
    <xf numFmtId="0" fontId="46" fillId="5" borderId="45" applyNumberFormat="0" applyAlignment="0" applyProtection="0"/>
    <xf numFmtId="0" fontId="45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" fillId="8" borderId="4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6" borderId="46" applyNumberFormat="0" applyAlignment="0" applyProtection="0"/>
    <xf numFmtId="0" fontId="4" fillId="0" borderId="0"/>
    <xf numFmtId="0" fontId="41" fillId="0" borderId="0"/>
    <xf numFmtId="0" fontId="49" fillId="0" borderId="49" applyNumberFormat="0" applyFill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47" applyNumberFormat="0" applyFill="0" applyAlignment="0" applyProtection="0"/>
    <xf numFmtId="0" fontId="4" fillId="0" borderId="0"/>
    <xf numFmtId="0" fontId="4" fillId="0" borderId="0"/>
    <xf numFmtId="0" fontId="48" fillId="0" borderId="0" applyNumberFormat="0" applyFill="0" applyBorder="0" applyAlignment="0" applyProtection="0"/>
    <xf numFmtId="0" fontId="46" fillId="5" borderId="45" applyNumberFormat="0" applyAlignment="0" applyProtection="0"/>
    <xf numFmtId="0" fontId="7" fillId="0" borderId="0"/>
    <xf numFmtId="0" fontId="4" fillId="0" borderId="0"/>
    <xf numFmtId="0" fontId="42" fillId="4" borderId="0" applyNumberFormat="0" applyBorder="0" applyAlignment="0" applyProtection="0"/>
    <xf numFmtId="0" fontId="41" fillId="0" borderId="0"/>
    <xf numFmtId="0" fontId="4" fillId="0" borderId="0"/>
    <xf numFmtId="0" fontId="46" fillId="5" borderId="45" applyNumberFormat="0" applyAlignment="0" applyProtection="0"/>
    <xf numFmtId="0" fontId="7" fillId="0" borderId="0"/>
    <xf numFmtId="0" fontId="45" fillId="0" borderId="0" applyNumberFormat="0" applyFill="0" applyBorder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7" fillId="8" borderId="4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6" borderId="46" applyNumberFormat="0" applyAlignment="0" applyProtection="0"/>
    <xf numFmtId="0" fontId="4" fillId="0" borderId="0"/>
    <xf numFmtId="0" fontId="41" fillId="0" borderId="0"/>
    <xf numFmtId="0" fontId="49" fillId="0" borderId="49" applyNumberFormat="0" applyFill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47" applyNumberFormat="0" applyFill="0" applyAlignment="0" applyProtection="0"/>
    <xf numFmtId="4" fontId="7" fillId="0" borderId="0"/>
    <xf numFmtId="0" fontId="4" fillId="0" borderId="0"/>
    <xf numFmtId="0" fontId="4" fillId="0" borderId="0"/>
    <xf numFmtId="0" fontId="48" fillId="0" borderId="0" applyNumberFormat="0" applyFill="0" applyBorder="0" applyAlignment="0" applyProtection="0"/>
    <xf numFmtId="4" fontId="8" fillId="0" borderId="0" applyProtection="0"/>
    <xf numFmtId="0" fontId="7" fillId="0" borderId="0"/>
    <xf numFmtId="0" fontId="7" fillId="0" borderId="0"/>
    <xf numFmtId="0" fontId="7" fillId="0" borderId="0"/>
    <xf numFmtId="0" fontId="4" fillId="0" borderId="0"/>
    <xf numFmtId="0" fontId="42" fillId="4" borderId="0" applyNumberFormat="0" applyBorder="0" applyAlignment="0" applyProtection="0"/>
    <xf numFmtId="0" fontId="41" fillId="0" borderId="0"/>
    <xf numFmtId="0" fontId="4" fillId="0" borderId="0"/>
    <xf numFmtId="0" fontId="7" fillId="0" borderId="0"/>
    <xf numFmtId="0" fontId="7" fillId="0" borderId="0"/>
    <xf numFmtId="0" fontId="45" fillId="0" borderId="0" applyNumberFormat="0" applyFill="0" applyBorder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7" fillId="8" borderId="4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6" borderId="46" applyNumberFormat="0" applyAlignment="0" applyProtection="0"/>
    <xf numFmtId="0" fontId="4" fillId="0" borderId="0"/>
    <xf numFmtId="0" fontId="41" fillId="0" borderId="0"/>
    <xf numFmtId="0" fontId="49" fillId="0" borderId="49" applyNumberFormat="0" applyFill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47" applyNumberFormat="0" applyFill="0" applyAlignment="0" applyProtection="0"/>
    <xf numFmtId="0" fontId="7" fillId="0" borderId="0"/>
    <xf numFmtId="0" fontId="4" fillId="0" borderId="0"/>
    <xf numFmtId="0" fontId="4" fillId="0" borderId="0"/>
    <xf numFmtId="0" fontId="48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2" fillId="4" borderId="0" applyNumberFormat="0" applyBorder="0" applyAlignment="0" applyProtection="0"/>
    <xf numFmtId="0" fontId="41" fillId="0" borderId="0"/>
    <xf numFmtId="0" fontId="4" fillId="0" borderId="0"/>
    <xf numFmtId="0" fontId="7" fillId="0" borderId="0"/>
    <xf numFmtId="0" fontId="7" fillId="0" borderId="0"/>
    <xf numFmtId="0" fontId="45" fillId="0" borderId="0" applyNumberFormat="0" applyFill="0" applyBorder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7" fillId="8" borderId="4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6" borderId="46" applyNumberFormat="0" applyAlignment="0" applyProtection="0"/>
    <xf numFmtId="0" fontId="4" fillId="0" borderId="0"/>
    <xf numFmtId="0" fontId="41" fillId="0" borderId="0"/>
    <xf numFmtId="0" fontId="49" fillId="0" borderId="49" applyNumberFormat="0" applyFill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47" applyNumberFormat="0" applyFill="0" applyAlignment="0" applyProtection="0"/>
    <xf numFmtId="0" fontId="7" fillId="0" borderId="0"/>
    <xf numFmtId="0" fontId="4" fillId="0" borderId="0"/>
    <xf numFmtId="0" fontId="4" fillId="0" borderId="0"/>
    <xf numFmtId="0" fontId="48" fillId="0" borderId="0" applyNumberFormat="0" applyFill="0" applyBorder="0" applyAlignment="0" applyProtection="0"/>
    <xf numFmtId="0" fontId="7" fillId="0" borderId="0"/>
    <xf numFmtId="0" fontId="7" fillId="0" borderId="0"/>
    <xf numFmtId="0" fontId="4" fillId="0" borderId="0"/>
    <xf numFmtId="0" fontId="42" fillId="4" borderId="0" applyNumberFormat="0" applyBorder="0" applyAlignment="0" applyProtection="0"/>
    <xf numFmtId="0" fontId="41" fillId="0" borderId="0"/>
    <xf numFmtId="0" fontId="4" fillId="0" borderId="0"/>
    <xf numFmtId="0" fontId="7" fillId="0" borderId="0"/>
    <xf numFmtId="0" fontId="7" fillId="0" borderId="0"/>
    <xf numFmtId="0" fontId="45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" fillId="8" borderId="4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6" borderId="46" applyNumberFormat="0" applyAlignment="0" applyProtection="0"/>
    <xf numFmtId="0" fontId="4" fillId="0" borderId="0"/>
    <xf numFmtId="0" fontId="41" fillId="0" borderId="0"/>
    <xf numFmtId="0" fontId="49" fillId="0" borderId="49" applyNumberFormat="0" applyFill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47" applyNumberFormat="0" applyFill="0" applyAlignment="0" applyProtection="0"/>
    <xf numFmtId="164" fontId="7" fillId="0" borderId="0" applyFont="0" applyFill="0" applyBorder="0" applyAlignment="0" applyProtection="0"/>
    <xf numFmtId="0" fontId="4" fillId="0" borderId="0"/>
    <xf numFmtId="0" fontId="4" fillId="0" borderId="0"/>
    <xf numFmtId="0" fontId="48" fillId="0" borderId="0" applyNumberFormat="0" applyFill="0" applyBorder="0" applyAlignment="0" applyProtection="0"/>
    <xf numFmtId="0" fontId="46" fillId="5" borderId="45" applyNumberFormat="0" applyAlignment="0" applyProtection="0"/>
    <xf numFmtId="164" fontId="7" fillId="0" borderId="0" applyFont="0" applyFill="0" applyBorder="0" applyAlignment="0" applyProtection="0"/>
    <xf numFmtId="0" fontId="47" fillId="7" borderId="0" applyNumberFormat="0" applyBorder="0" applyAlignment="0" applyProtection="0"/>
    <xf numFmtId="0" fontId="4" fillId="0" borderId="0"/>
    <xf numFmtId="0" fontId="42" fillId="4" borderId="0" applyNumberFormat="0" applyBorder="0" applyAlignment="0" applyProtection="0"/>
    <xf numFmtId="0" fontId="41" fillId="0" borderId="0"/>
    <xf numFmtId="0" fontId="4" fillId="0" borderId="0"/>
    <xf numFmtId="0" fontId="45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" fillId="8" borderId="4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6" borderId="46" applyNumberFormat="0" applyAlignment="0" applyProtection="0"/>
    <xf numFmtId="0" fontId="4" fillId="0" borderId="0"/>
    <xf numFmtId="0" fontId="41" fillId="0" borderId="0"/>
    <xf numFmtId="0" fontId="49" fillId="0" borderId="49" applyNumberFormat="0" applyFill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47" applyNumberFormat="0" applyFill="0" applyAlignment="0" applyProtection="0"/>
    <xf numFmtId="0" fontId="4" fillId="0" borderId="0"/>
    <xf numFmtId="0" fontId="4" fillId="0" borderId="0"/>
    <xf numFmtId="0" fontId="48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4" fillId="0" borderId="0"/>
    <xf numFmtId="0" fontId="42" fillId="4" borderId="0" applyNumberFormat="0" applyBorder="0" applyAlignment="0" applyProtection="0"/>
    <xf numFmtId="0" fontId="41" fillId="0" borderId="0"/>
    <xf numFmtId="0" fontId="4" fillId="0" borderId="0"/>
    <xf numFmtId="0" fontId="46" fillId="5" borderId="45" applyNumberFormat="0" applyAlignment="0" applyProtection="0"/>
    <xf numFmtId="0" fontId="45" fillId="0" borderId="0" applyNumberFormat="0" applyFill="0" applyBorder="0" applyAlignment="0" applyProtection="0"/>
    <xf numFmtId="0" fontId="4" fillId="0" borderId="0"/>
    <xf numFmtId="0" fontId="4" fillId="0" borderId="0"/>
    <xf numFmtId="0" fontId="7" fillId="8" borderId="4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6" borderId="46" applyNumberFormat="0" applyAlignment="0" applyProtection="0"/>
    <xf numFmtId="0" fontId="4" fillId="0" borderId="0"/>
    <xf numFmtId="0" fontId="4" fillId="0" borderId="0"/>
    <xf numFmtId="0" fontId="49" fillId="0" borderId="49" applyNumberFormat="0" applyFill="0" applyAlignment="0" applyProtection="0"/>
    <xf numFmtId="0" fontId="41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47" applyNumberFormat="0" applyFill="0" applyAlignment="0" applyProtection="0"/>
    <xf numFmtId="0" fontId="4" fillId="0" borderId="0"/>
    <xf numFmtId="4" fontId="7" fillId="0" borderId="0"/>
    <xf numFmtId="0" fontId="4" fillId="0" borderId="0"/>
    <xf numFmtId="0" fontId="48" fillId="0" borderId="0" applyNumberFormat="0" applyFill="0" applyBorder="0" applyAlignment="0" applyProtection="0"/>
    <xf numFmtId="0" fontId="4" fillId="0" borderId="0"/>
    <xf numFmtId="0" fontId="45" fillId="0" borderId="0" applyNumberFormat="0" applyFill="0" applyBorder="0" applyAlignment="0" applyProtection="0"/>
    <xf numFmtId="4" fontId="8" fillId="0" borderId="0" applyProtection="0"/>
    <xf numFmtId="0" fontId="7" fillId="0" borderId="0"/>
    <xf numFmtId="0" fontId="42" fillId="4" borderId="0" applyNumberFormat="0" applyBorder="0" applyAlignment="0" applyProtection="0"/>
    <xf numFmtId="0" fontId="41" fillId="0" borderId="0"/>
    <xf numFmtId="0" fontId="4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48" applyNumberFormat="0" applyFont="0" applyAlignment="0" applyProtection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6" borderId="46" applyNumberFormat="0" applyAlignment="0" applyProtection="0"/>
    <xf numFmtId="0" fontId="4" fillId="0" borderId="0"/>
    <xf numFmtId="0" fontId="4" fillId="0" borderId="0"/>
    <xf numFmtId="0" fontId="49" fillId="0" borderId="49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47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 applyNumberFormat="0" applyFill="0" applyBorder="0" applyAlignment="0" applyProtection="0"/>
    <xf numFmtId="0" fontId="4" fillId="0" borderId="0"/>
    <xf numFmtId="0" fontId="4" fillId="0" borderId="0"/>
    <xf numFmtId="4" fontId="8" fillId="0" borderId="0" applyProtection="0"/>
    <xf numFmtId="0" fontId="4" fillId="0" borderId="0"/>
    <xf numFmtId="0" fontId="4" fillId="0" borderId="0"/>
    <xf numFmtId="0" fontId="42" fillId="4" borderId="0" applyNumberFormat="0" applyBorder="0" applyAlignment="0" applyProtection="0"/>
    <xf numFmtId="0" fontId="41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48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43" fillId="6" borderId="46" applyNumberFormat="0" applyAlignment="0" applyProtection="0"/>
    <xf numFmtId="0" fontId="49" fillId="0" borderId="49" applyNumberFormat="0" applyFill="0" applyAlignment="0" applyProtection="0"/>
    <xf numFmtId="0" fontId="45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44" fillId="0" borderId="47" applyNumberFormat="0" applyFill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2" fillId="4" borderId="0" applyNumberFormat="0" applyBorder="0" applyAlignment="0" applyProtection="0"/>
    <xf numFmtId="0" fontId="4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48" applyNumberFormat="0" applyFont="0" applyAlignment="0" applyProtection="0"/>
    <xf numFmtId="0" fontId="7" fillId="0" borderId="0"/>
    <xf numFmtId="0" fontId="43" fillId="6" borderId="46" applyNumberFormat="0" applyAlignment="0" applyProtection="0"/>
    <xf numFmtId="0" fontId="7" fillId="0" borderId="0"/>
    <xf numFmtId="0" fontId="7" fillId="0" borderId="0"/>
    <xf numFmtId="0" fontId="7" fillId="0" borderId="0"/>
    <xf numFmtId="0" fontId="49" fillId="0" borderId="49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7" fillId="0" borderId="0"/>
    <xf numFmtId="0" fontId="7" fillId="0" borderId="0"/>
    <xf numFmtId="0" fontId="44" fillId="0" borderId="47" applyNumberFormat="0" applyFill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2" fillId="4" borderId="0" applyNumberFormat="0" applyBorder="0" applyAlignment="0" applyProtection="0"/>
    <xf numFmtId="0" fontId="41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6" borderId="46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49" applyNumberFormat="0" applyFill="0" applyAlignment="0" applyProtection="0"/>
    <xf numFmtId="4" fontId="7" fillId="0" borderId="0"/>
    <xf numFmtId="4" fontId="8" fillId="0" borderId="0" applyProtection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48" applyNumberFormat="0" applyFont="0" applyAlignment="0" applyProtection="0"/>
    <xf numFmtId="0" fontId="42" fillId="4" borderId="0" applyNumberFormat="0" applyBorder="0" applyAlignment="0" applyProtection="0"/>
    <xf numFmtId="0" fontId="7" fillId="0" borderId="0"/>
    <xf numFmtId="0" fontId="4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6" borderId="46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" fontId="8" fillId="0" borderId="0" applyProtection="0"/>
    <xf numFmtId="0" fontId="49" fillId="0" borderId="49" applyNumberFormat="0" applyFill="0" applyAlignment="0" applyProtection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48" applyNumberFormat="0" applyFont="0" applyAlignment="0" applyProtection="0"/>
    <xf numFmtId="0" fontId="42" fillId="4" borderId="0" applyNumberFormat="0" applyBorder="0" applyAlignment="0" applyProtection="0"/>
    <xf numFmtId="0" fontId="7" fillId="0" borderId="0"/>
    <xf numFmtId="0" fontId="7" fillId="0" borderId="0"/>
    <xf numFmtId="0" fontId="45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44" fillId="0" borderId="47" applyNumberFormat="0" applyFill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3" fillId="6" borderId="46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49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4" borderId="0" applyNumberFormat="0" applyBorder="0" applyAlignment="0" applyProtection="0"/>
    <xf numFmtId="0" fontId="44" fillId="0" borderId="47" applyNumberFormat="0" applyFill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3" fillId="6" borderId="46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49" applyNumberFormat="0" applyFill="0" applyAlignment="0" applyProtection="0"/>
    <xf numFmtId="0" fontId="4" fillId="0" borderId="0"/>
    <xf numFmtId="0" fontId="4" fillId="0" borderId="0"/>
    <xf numFmtId="0" fontId="44" fillId="0" borderId="47" applyNumberFormat="0" applyFill="0" applyAlignment="0" applyProtection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4" borderId="0" applyNumberFormat="0" applyBorder="0" applyAlignment="0" applyProtection="0"/>
    <xf numFmtId="0" fontId="7" fillId="8" borderId="48" applyNumberFormat="0" applyFont="0" applyAlignment="0" applyProtection="0"/>
    <xf numFmtId="4" fontId="7" fillId="0" borderId="0"/>
    <xf numFmtId="4" fontId="8" fillId="0" borderId="0" applyProtection="0"/>
    <xf numFmtId="0" fontId="7" fillId="0" borderId="0"/>
    <xf numFmtId="0" fontId="44" fillId="0" borderId="47" applyNumberFormat="0" applyFill="0" applyAlignment="0" applyProtection="0"/>
    <xf numFmtId="0" fontId="48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3" fillId="6" borderId="46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49" applyNumberFormat="0" applyFill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2" fillId="4" borderId="0" applyNumberFormat="0" applyBorder="0" applyAlignment="0" applyProtection="0"/>
    <xf numFmtId="0" fontId="7" fillId="0" borderId="0"/>
    <xf numFmtId="0" fontId="7" fillId="8" borderId="48" applyNumberFormat="0" applyFont="0" applyAlignment="0" applyProtection="0"/>
    <xf numFmtId="0" fontId="43" fillId="6" borderId="46" applyNumberFormat="0" applyAlignment="0" applyProtection="0"/>
    <xf numFmtId="0" fontId="48" fillId="0" borderId="0" applyNumberFormat="0" applyFill="0" applyBorder="0" applyAlignment="0" applyProtection="0"/>
    <xf numFmtId="0" fontId="42" fillId="4" borderId="0" applyNumberFormat="0" applyBorder="0" applyAlignment="0" applyProtection="0"/>
    <xf numFmtId="0" fontId="49" fillId="0" borderId="49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48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59" fillId="0" borderId="0"/>
    <xf numFmtId="164" fontId="59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7" fillId="0" borderId="0" applyFont="0" applyFill="0" applyBorder="0" applyAlignment="0" applyProtection="0">
      <alignment wrapText="1"/>
    </xf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7" fillId="0" borderId="0"/>
    <xf numFmtId="0" fontId="7" fillId="0" borderId="0"/>
    <xf numFmtId="0" fontId="3" fillId="0" borderId="0"/>
    <xf numFmtId="0" fontId="49" fillId="0" borderId="49" applyNumberFormat="0" applyFill="0" applyAlignment="0" applyProtection="0"/>
    <xf numFmtId="0" fontId="49" fillId="0" borderId="49" applyNumberFormat="0" applyFill="0" applyAlignment="0" applyProtection="0"/>
    <xf numFmtId="0" fontId="49" fillId="0" borderId="49" applyNumberFormat="0" applyFill="0" applyAlignment="0" applyProtection="0"/>
    <xf numFmtId="176" fontId="7" fillId="0" borderId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0" fontId="66" fillId="0" borderId="0"/>
    <xf numFmtId="164" fontId="7" fillId="0" borderId="0" applyFont="0" applyFill="0" applyBorder="0" applyAlignment="0" applyProtection="0"/>
    <xf numFmtId="0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0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0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0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0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" fontId="7" fillId="0" borderId="0"/>
    <xf numFmtId="4" fontId="7" fillId="0" borderId="0"/>
    <xf numFmtId="4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" fontId="7" fillId="0" borderId="0"/>
    <xf numFmtId="0" fontId="7" fillId="0" borderId="0"/>
    <xf numFmtId="0" fontId="7" fillId="0" borderId="0"/>
    <xf numFmtId="4" fontId="7" fillId="0" borderId="0"/>
    <xf numFmtId="4" fontId="7" fillId="0" borderId="0"/>
    <xf numFmtId="4" fontId="7" fillId="0" borderId="0"/>
    <xf numFmtId="0" fontId="7" fillId="0" borderId="0"/>
    <xf numFmtId="0" fontId="7" fillId="0" borderId="0"/>
    <xf numFmtId="0" fontId="7" fillId="0" borderId="0"/>
    <xf numFmtId="4" fontId="7" fillId="0" borderId="0"/>
    <xf numFmtId="0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0" fontId="7" fillId="0" borderId="0"/>
    <xf numFmtId="0" fontId="7" fillId="0" borderId="0"/>
    <xf numFmtId="0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0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0" fontId="7" fillId="0" borderId="0"/>
    <xf numFmtId="0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9" fontId="7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0" fillId="0" borderId="0"/>
    <xf numFmtId="9" fontId="81" fillId="0" borderId="0" applyFont="0" applyFill="0" applyBorder="0" applyAlignment="0" applyProtection="0"/>
    <xf numFmtId="165" fontId="81" fillId="0" borderId="0" applyFont="0" applyFill="0" applyBorder="0" applyAlignment="0" applyProtection="0"/>
    <xf numFmtId="0" fontId="82" fillId="0" borderId="0"/>
  </cellStyleXfs>
  <cellXfs count="846">
    <xf numFmtId="4" fontId="0" fillId="0" borderId="0" xfId="0"/>
    <xf numFmtId="4" fontId="9" fillId="0" borderId="0" xfId="0" applyFont="1"/>
    <xf numFmtId="4" fontId="9" fillId="0" borderId="0" xfId="0" applyFont="1" applyBorder="1"/>
    <xf numFmtId="4" fontId="13" fillId="0" borderId="0" xfId="0" applyFont="1" applyBorder="1" applyProtection="1"/>
    <xf numFmtId="4" fontId="13" fillId="0" borderId="2" xfId="0" applyFont="1" applyBorder="1" applyAlignment="1" applyProtection="1">
      <alignment horizontal="right" vertical="center" wrapText="1"/>
    </xf>
    <xf numFmtId="4" fontId="13" fillId="0" borderId="0" xfId="0" applyFont="1" applyBorder="1" applyAlignment="1" applyProtection="1"/>
    <xf numFmtId="4" fontId="9" fillId="0" borderId="0" xfId="0" applyFont="1" applyBorder="1" applyProtection="1"/>
    <xf numFmtId="4" fontId="9" fillId="0" borderId="1" xfId="0" applyFont="1" applyBorder="1" applyProtection="1"/>
    <xf numFmtId="168" fontId="9" fillId="0" borderId="0" xfId="0" applyNumberFormat="1" applyFont="1" applyBorder="1" applyAlignment="1" applyProtection="1">
      <alignment horizontal="center"/>
    </xf>
    <xf numFmtId="168" fontId="9" fillId="0" borderId="0" xfId="0" applyNumberFormat="1" applyFont="1" applyBorder="1" applyProtection="1"/>
    <xf numFmtId="4" fontId="9" fillId="0" borderId="0" xfId="0" applyFont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/>
    <xf numFmtId="4" fontId="9" fillId="0" borderId="0" xfId="0" applyFont="1" applyBorder="1" applyAlignment="1">
      <alignment horizontal="center" vertical="center"/>
    </xf>
    <xf numFmtId="4" fontId="9" fillId="0" borderId="0" xfId="0" applyFont="1" applyFill="1"/>
    <xf numFmtId="49" fontId="18" fillId="0" borderId="11" xfId="0" applyNumberFormat="1" applyFont="1" applyFill="1" applyBorder="1" applyAlignment="1" applyProtection="1">
      <alignment horizontal="left" vertical="center"/>
    </xf>
    <xf numFmtId="49" fontId="17" fillId="0" borderId="11" xfId="0" applyNumberFormat="1" applyFont="1" applyFill="1" applyBorder="1" applyAlignment="1" applyProtection="1">
      <alignment horizontal="center" vertical="center"/>
    </xf>
    <xf numFmtId="49" fontId="9" fillId="0" borderId="11" xfId="0" applyNumberFormat="1" applyFont="1" applyFill="1" applyBorder="1" applyAlignment="1" applyProtection="1">
      <alignment horizontal="center" vertical="center"/>
    </xf>
    <xf numFmtId="49" fontId="9" fillId="0" borderId="12" xfId="0" applyNumberFormat="1" applyFont="1" applyFill="1" applyBorder="1" applyAlignment="1" applyProtection="1">
      <alignment horizontal="left" vertical="center"/>
    </xf>
    <xf numFmtId="4" fontId="9" fillId="0" borderId="11" xfId="0" applyFont="1" applyBorder="1" applyProtection="1"/>
    <xf numFmtId="4" fontId="9" fillId="0" borderId="11" xfId="0" applyFont="1" applyFill="1" applyBorder="1" applyProtection="1"/>
    <xf numFmtId="49" fontId="9" fillId="0" borderId="11" xfId="0" applyNumberFormat="1" applyFont="1" applyFill="1" applyBorder="1" applyProtection="1"/>
    <xf numFmtId="4" fontId="13" fillId="0" borderId="0" xfId="0" applyFont="1"/>
    <xf numFmtId="49" fontId="9" fillId="0" borderId="11" xfId="0" applyNumberFormat="1" applyFont="1" applyFill="1" applyBorder="1" applyAlignment="1" applyProtection="1">
      <alignment horizontal="left" vertical="center"/>
    </xf>
    <xf numFmtId="49" fontId="9" fillId="0" borderId="10" xfId="0" applyNumberFormat="1" applyFont="1" applyFill="1" applyBorder="1" applyAlignment="1" applyProtection="1">
      <alignment horizontal="left" vertical="center"/>
    </xf>
    <xf numFmtId="49" fontId="9" fillId="0" borderId="0" xfId="0" applyNumberFormat="1" applyFont="1" applyFill="1" applyBorder="1" applyAlignment="1" applyProtection="1">
      <alignment horizontal="left" vertical="center"/>
    </xf>
    <xf numFmtId="4" fontId="9" fillId="2" borderId="0" xfId="0" applyFont="1" applyFill="1"/>
    <xf numFmtId="170" fontId="9" fillId="0" borderId="0" xfId="2" applyNumberFormat="1" applyFont="1" applyFill="1" applyProtection="1"/>
    <xf numFmtId="170" fontId="9" fillId="0" borderId="0" xfId="2" applyNumberFormat="1" applyFont="1" applyFill="1" applyAlignment="1" applyProtection="1">
      <alignment horizontal="center"/>
    </xf>
    <xf numFmtId="170" fontId="28" fillId="0" borderId="0" xfId="2" applyNumberFormat="1" applyFont="1" applyFill="1" applyProtection="1"/>
    <xf numFmtId="170" fontId="9" fillId="0" borderId="16" xfId="2" applyNumberFormat="1" applyFont="1" applyFill="1" applyBorder="1" applyAlignment="1" applyProtection="1">
      <alignment horizontal="center" vertical="center"/>
    </xf>
    <xf numFmtId="170" fontId="9" fillId="0" borderId="17" xfId="2" applyNumberFormat="1" applyFont="1" applyFill="1" applyBorder="1" applyAlignment="1" applyProtection="1">
      <alignment horizontal="center" vertical="center"/>
    </xf>
    <xf numFmtId="170" fontId="9" fillId="0" borderId="17" xfId="2" applyNumberFormat="1" applyFont="1" applyFill="1" applyBorder="1" applyAlignment="1" applyProtection="1">
      <alignment horizontal="center" vertical="center" wrapText="1"/>
    </xf>
    <xf numFmtId="10" fontId="9" fillId="0" borderId="18" xfId="2" applyNumberFormat="1" applyFont="1" applyFill="1" applyBorder="1" applyAlignment="1" applyProtection="1">
      <alignment horizontal="center" vertical="center"/>
    </xf>
    <xf numFmtId="170" fontId="9" fillId="0" borderId="16" xfId="2" applyNumberFormat="1" applyFont="1" applyFill="1" applyBorder="1" applyAlignment="1" applyProtection="1">
      <alignment vertical="center"/>
    </xf>
    <xf numFmtId="170" fontId="9" fillId="0" borderId="17" xfId="2" applyNumberFormat="1" applyFont="1" applyFill="1" applyBorder="1" applyAlignment="1" applyProtection="1">
      <alignment vertical="center"/>
    </xf>
    <xf numFmtId="170" fontId="9" fillId="0" borderId="0" xfId="2" applyNumberFormat="1" applyFont="1" applyFill="1" applyAlignment="1" applyProtection="1">
      <alignment horizontal="center" vertical="center"/>
    </xf>
    <xf numFmtId="170" fontId="20" fillId="0" borderId="0" xfId="2" applyNumberFormat="1" applyFont="1" applyFill="1" applyAlignment="1" applyProtection="1">
      <alignment horizontal="center" vertical="center"/>
    </xf>
    <xf numFmtId="170" fontId="30" fillId="0" borderId="19" xfId="2" applyNumberFormat="1" applyFont="1" applyFill="1" applyBorder="1" applyAlignment="1" applyProtection="1">
      <alignment horizontal="center" vertical="center"/>
    </xf>
    <xf numFmtId="170" fontId="30" fillId="0" borderId="19" xfId="2" applyNumberFormat="1" applyFont="1" applyFill="1" applyBorder="1" applyAlignment="1" applyProtection="1">
      <alignment horizontal="center" vertical="center" wrapText="1"/>
    </xf>
    <xf numFmtId="170" fontId="30" fillId="0" borderId="1" xfId="2" applyNumberFormat="1" applyFont="1" applyFill="1" applyBorder="1" applyAlignment="1" applyProtection="1">
      <alignment horizontal="center" vertical="center"/>
    </xf>
    <xf numFmtId="170" fontId="30" fillId="0" borderId="0" xfId="2" applyNumberFormat="1" applyFont="1" applyFill="1" applyBorder="1" applyAlignment="1" applyProtection="1">
      <alignment horizontal="center" vertical="center"/>
    </xf>
    <xf numFmtId="170" fontId="30" fillId="0" borderId="0" xfId="2" applyNumberFormat="1" applyFont="1" applyFill="1" applyBorder="1" applyAlignment="1" applyProtection="1">
      <alignment horizontal="center" vertical="center" wrapText="1"/>
    </xf>
    <xf numFmtId="170" fontId="30" fillId="0" borderId="13" xfId="2" applyNumberFormat="1" applyFont="1" applyFill="1" applyBorder="1" applyAlignment="1" applyProtection="1">
      <alignment horizontal="center" vertical="center"/>
    </xf>
    <xf numFmtId="170" fontId="30" fillId="0" borderId="13" xfId="2" applyNumberFormat="1" applyFont="1" applyFill="1" applyBorder="1" applyAlignment="1" applyProtection="1">
      <alignment horizontal="center" vertical="center" wrapText="1"/>
    </xf>
    <xf numFmtId="170" fontId="30" fillId="0" borderId="14" xfId="2" applyNumberFormat="1" applyFont="1" applyFill="1" applyBorder="1" applyAlignment="1" applyProtection="1">
      <alignment horizontal="center" vertical="center"/>
    </xf>
    <xf numFmtId="170" fontId="20" fillId="0" borderId="0" xfId="2" applyNumberFormat="1" applyFont="1" applyFill="1" applyAlignment="1" applyProtection="1">
      <alignment vertical="center"/>
    </xf>
    <xf numFmtId="170" fontId="32" fillId="0" borderId="22" xfId="0" applyNumberFormat="1" applyFont="1" applyFill="1" applyBorder="1" applyProtection="1"/>
    <xf numFmtId="170" fontId="32" fillId="0" borderId="23" xfId="0" applyNumberFormat="1" applyFont="1" applyFill="1" applyBorder="1" applyAlignment="1" applyProtection="1">
      <alignment horizontal="center"/>
    </xf>
    <xf numFmtId="170" fontId="9" fillId="0" borderId="23" xfId="1" applyNumberFormat="1" applyFont="1" applyFill="1" applyBorder="1" applyAlignment="1" applyProtection="1"/>
    <xf numFmtId="170" fontId="9" fillId="0" borderId="23" xfId="2" applyNumberFormat="1" applyFont="1" applyFill="1" applyBorder="1" applyProtection="1"/>
    <xf numFmtId="170" fontId="32" fillId="0" borderId="24" xfId="0" applyNumberFormat="1" applyFont="1" applyFill="1" applyBorder="1" applyProtection="1"/>
    <xf numFmtId="170" fontId="32" fillId="0" borderId="25" xfId="0" applyNumberFormat="1" applyFont="1" applyFill="1" applyBorder="1" applyAlignment="1" applyProtection="1">
      <alignment horizontal="center"/>
    </xf>
    <xf numFmtId="170" fontId="9" fillId="0" borderId="25" xfId="1" applyNumberFormat="1" applyFont="1" applyFill="1" applyBorder="1" applyAlignment="1" applyProtection="1"/>
    <xf numFmtId="170" fontId="9" fillId="0" borderId="25" xfId="2" applyNumberFormat="1" applyFont="1" applyFill="1" applyBorder="1" applyProtection="1"/>
    <xf numFmtId="170" fontId="9" fillId="0" borderId="26" xfId="2" applyNumberFormat="1" applyFont="1" applyFill="1" applyBorder="1" applyProtection="1"/>
    <xf numFmtId="4" fontId="35" fillId="0" borderId="0" xfId="0" applyFont="1" applyBorder="1" applyAlignment="1">
      <alignment horizontal="center" vertical="center" wrapText="1"/>
    </xf>
    <xf numFmtId="170" fontId="35" fillId="0" borderId="17" xfId="2" applyNumberFormat="1" applyFont="1" applyFill="1" applyBorder="1" applyAlignment="1" applyProtection="1">
      <alignment horizontal="center" vertical="center" wrapText="1"/>
    </xf>
    <xf numFmtId="49" fontId="36" fillId="0" borderId="0" xfId="0" applyNumberFormat="1" applyFont="1" applyFill="1" applyBorder="1" applyAlignment="1" applyProtection="1">
      <alignment horizontal="center" vertical="center"/>
    </xf>
    <xf numFmtId="49" fontId="36" fillId="0" borderId="0" xfId="0" applyNumberFormat="1" applyFont="1" applyFill="1" applyBorder="1" applyAlignment="1" applyProtection="1">
      <alignment horizontal="left" vertical="center"/>
    </xf>
    <xf numFmtId="4" fontId="35" fillId="0" borderId="0" xfId="0" applyFont="1" applyFill="1" applyAlignment="1">
      <alignment horizontal="center" vertical="center" wrapText="1"/>
    </xf>
    <xf numFmtId="49" fontId="34" fillId="0" borderId="0" xfId="0" applyNumberFormat="1" applyFont="1" applyFill="1" applyBorder="1" applyAlignment="1" applyProtection="1">
      <alignment horizontal="center" vertical="center"/>
    </xf>
    <xf numFmtId="49" fontId="34" fillId="0" borderId="0" xfId="0" applyNumberFormat="1" applyFont="1" applyFill="1" applyBorder="1" applyAlignment="1" applyProtection="1">
      <alignment horizontal="left" vertical="center"/>
    </xf>
    <xf numFmtId="49" fontId="32" fillId="0" borderId="0" xfId="0" applyNumberFormat="1" applyFont="1" applyFill="1" applyBorder="1" applyAlignment="1" applyProtection="1">
      <alignment horizontal="center" vertical="center"/>
    </xf>
    <xf numFmtId="49" fontId="32" fillId="0" borderId="0" xfId="0" applyNumberFormat="1" applyFont="1" applyFill="1" applyBorder="1" applyAlignment="1" applyProtection="1">
      <alignment horizontal="left" vertical="center"/>
    </xf>
    <xf numFmtId="49" fontId="32" fillId="0" borderId="0" xfId="0" applyNumberFormat="1" applyFont="1" applyFill="1" applyBorder="1" applyProtection="1"/>
    <xf numFmtId="49" fontId="34" fillId="0" borderId="0" xfId="0" applyNumberFormat="1" applyFont="1" applyBorder="1" applyAlignment="1">
      <alignment horizontal="center" vertical="center"/>
    </xf>
    <xf numFmtId="49" fontId="34" fillId="0" borderId="0" xfId="0" applyNumberFormat="1" applyFont="1" applyFill="1" applyBorder="1" applyProtection="1"/>
    <xf numFmtId="49" fontId="35" fillId="0" borderId="0" xfId="0" applyNumberFormat="1" applyFont="1" applyBorder="1"/>
    <xf numFmtId="4" fontId="35" fillId="0" borderId="0" xfId="0" applyFont="1" applyBorder="1"/>
    <xf numFmtId="4" fontId="35" fillId="0" borderId="0" xfId="0" applyFont="1" applyBorder="1" applyAlignment="1">
      <alignment horizontal="center" vertical="center"/>
    </xf>
    <xf numFmtId="4" fontId="9" fillId="0" borderId="0" xfId="0" applyFont="1" applyBorder="1" applyAlignment="1"/>
    <xf numFmtId="4" fontId="9" fillId="0" borderId="0" xfId="0" applyFont="1" applyFill="1" applyBorder="1" applyAlignment="1"/>
    <xf numFmtId="4" fontId="31" fillId="0" borderId="0" xfId="0" applyFont="1" applyBorder="1"/>
    <xf numFmtId="4" fontId="35" fillId="0" borderId="0" xfId="0" applyFont="1" applyFill="1" applyAlignment="1">
      <alignment horizontal="center" vertical="center"/>
    </xf>
    <xf numFmtId="49" fontId="34" fillId="0" borderId="0" xfId="0" applyNumberFormat="1" applyFont="1" applyFill="1" applyBorder="1" applyAlignment="1">
      <alignment horizontal="center" vertical="center"/>
    </xf>
    <xf numFmtId="4" fontId="35" fillId="0" borderId="0" xfId="0" applyFont="1" applyFill="1" applyBorder="1"/>
    <xf numFmtId="4" fontId="35" fillId="0" borderId="0" xfId="0" applyFont="1" applyFill="1" applyBorder="1" applyAlignment="1">
      <alignment horizontal="center" vertical="center"/>
    </xf>
    <xf numFmtId="4" fontId="35" fillId="0" borderId="0" xfId="0" applyFont="1" applyFill="1"/>
    <xf numFmtId="4" fontId="9" fillId="2" borderId="0" xfId="0" applyFont="1" applyFill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" fontId="9" fillId="2" borderId="0" xfId="0" applyFont="1" applyFill="1" applyBorder="1"/>
    <xf numFmtId="4" fontId="9" fillId="2" borderId="0" xfId="0" applyFont="1" applyFill="1" applyBorder="1" applyAlignment="1">
      <alignment horizontal="center" vertical="center"/>
    </xf>
    <xf numFmtId="4" fontId="35" fillId="0" borderId="0" xfId="0" applyFont="1"/>
    <xf numFmtId="4" fontId="35" fillId="0" borderId="0" xfId="0" applyFont="1" applyAlignment="1">
      <alignment horizontal="center" vertical="center"/>
    </xf>
    <xf numFmtId="4" fontId="20" fillId="0" borderId="0" xfId="0" applyFont="1"/>
    <xf numFmtId="4" fontId="20" fillId="0" borderId="0" xfId="0" applyFont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/>
    </xf>
    <xf numFmtId="171" fontId="9" fillId="0" borderId="0" xfId="0" applyNumberFormat="1" applyFont="1" applyBorder="1" applyAlignment="1" applyProtection="1">
      <alignment horizontal="center"/>
    </xf>
    <xf numFmtId="9" fontId="37" fillId="0" borderId="0" xfId="3" applyFont="1"/>
    <xf numFmtId="170" fontId="9" fillId="0" borderId="11" xfId="0" applyNumberFormat="1" applyFont="1" applyBorder="1" applyProtection="1"/>
    <xf numFmtId="170" fontId="29" fillId="0" borderId="1" xfId="2" applyNumberFormat="1" applyFont="1" applyFill="1" applyBorder="1" applyAlignment="1" applyProtection="1">
      <alignment horizontal="center" vertical="center" wrapText="1"/>
    </xf>
    <xf numFmtId="4" fontId="13" fillId="0" borderId="28" xfId="0" applyFont="1" applyBorder="1" applyAlignment="1" applyProtection="1">
      <alignment horizontal="left"/>
    </xf>
    <xf numFmtId="4" fontId="13" fillId="0" borderId="28" xfId="0" applyFont="1" applyBorder="1" applyProtection="1"/>
    <xf numFmtId="4" fontId="9" fillId="0" borderId="28" xfId="0" applyFont="1" applyBorder="1" applyProtection="1"/>
    <xf numFmtId="4" fontId="9" fillId="0" borderId="30" xfId="0" applyFont="1" applyBorder="1" applyProtection="1"/>
    <xf numFmtId="168" fontId="9" fillId="0" borderId="30" xfId="0" applyNumberFormat="1" applyFont="1" applyBorder="1" applyAlignment="1" applyProtection="1">
      <alignment horizontal="center"/>
    </xf>
    <xf numFmtId="171" fontId="9" fillId="0" borderId="30" xfId="0" applyNumberFormat="1" applyFont="1" applyBorder="1" applyAlignment="1" applyProtection="1">
      <alignment horizontal="center"/>
    </xf>
    <xf numFmtId="4" fontId="0" fillId="0" borderId="0" xfId="0" applyProtection="1"/>
    <xf numFmtId="3" fontId="12" fillId="0" borderId="30" xfId="0" applyNumberFormat="1" applyFont="1" applyBorder="1" applyAlignment="1" applyProtection="1">
      <alignment vertical="center"/>
    </xf>
    <xf numFmtId="49" fontId="0" fillId="0" borderId="0" xfId="0" applyNumberFormat="1" applyFont="1" applyAlignment="1" applyProtection="1">
      <alignment horizontal="center"/>
    </xf>
    <xf numFmtId="4" fontId="0" fillId="0" borderId="0" xfId="0" applyFont="1" applyProtection="1"/>
    <xf numFmtId="14" fontId="9" fillId="0" borderId="0" xfId="0" applyNumberFormat="1" applyFont="1" applyBorder="1" applyAlignment="1" applyProtection="1">
      <alignment horizontal="left"/>
    </xf>
    <xf numFmtId="3" fontId="0" fillId="0" borderId="0" xfId="0" applyNumberFormat="1" applyAlignment="1" applyProtection="1">
      <alignment horizontal="center"/>
    </xf>
    <xf numFmtId="3" fontId="12" fillId="0" borderId="32" xfId="0" applyNumberFormat="1" applyFont="1" applyBorder="1" applyAlignment="1" applyProtection="1">
      <alignment vertical="center"/>
    </xf>
    <xf numFmtId="3" fontId="13" fillId="0" borderId="0" xfId="0" applyNumberFormat="1" applyFont="1" applyBorder="1" applyAlignment="1" applyProtection="1">
      <alignment horizontal="center"/>
    </xf>
    <xf numFmtId="4" fontId="9" fillId="0" borderId="0" xfId="0" applyFont="1" applyBorder="1" applyAlignment="1" applyProtection="1">
      <alignment vertical="center"/>
    </xf>
    <xf numFmtId="4" fontId="9" fillId="0" borderId="35" xfId="0" applyFont="1" applyBorder="1" applyProtection="1"/>
    <xf numFmtId="4" fontId="9" fillId="0" borderId="36" xfId="0" applyFont="1" applyBorder="1" applyProtection="1"/>
    <xf numFmtId="4" fontId="9" fillId="0" borderId="37" xfId="0" applyFont="1" applyBorder="1" applyProtection="1"/>
    <xf numFmtId="4" fontId="9" fillId="0" borderId="0" xfId="0" applyFont="1" applyProtection="1"/>
    <xf numFmtId="4" fontId="17" fillId="0" borderId="6" xfId="0" applyFont="1" applyBorder="1" applyAlignment="1" applyProtection="1">
      <alignment horizontal="center"/>
    </xf>
    <xf numFmtId="4" fontId="9" fillId="0" borderId="0" xfId="0" applyFont="1" applyBorder="1" applyAlignment="1" applyProtection="1">
      <alignment horizontal="center" vertical="center"/>
    </xf>
    <xf numFmtId="170" fontId="9" fillId="0" borderId="0" xfId="0" applyNumberFormat="1" applyFont="1" applyBorder="1" applyAlignment="1" applyProtection="1">
      <alignment vertical="center"/>
    </xf>
    <xf numFmtId="168" fontId="9" fillId="0" borderId="7" xfId="0" applyNumberFormat="1" applyFont="1" applyBorder="1" applyProtection="1"/>
    <xf numFmtId="49" fontId="9" fillId="0" borderId="9" xfId="0" applyNumberFormat="1" applyFont="1" applyBorder="1" applyAlignment="1" applyProtection="1">
      <alignment horizontal="center" vertical="center"/>
    </xf>
    <xf numFmtId="49" fontId="9" fillId="0" borderId="9" xfId="0" applyNumberFormat="1" applyFont="1" applyBorder="1" applyProtection="1"/>
    <xf numFmtId="168" fontId="9" fillId="0" borderId="9" xfId="0" applyNumberFormat="1" applyFont="1" applyBorder="1" applyProtection="1"/>
    <xf numFmtId="4" fontId="9" fillId="0" borderId="9" xfId="0" applyFont="1" applyBorder="1" applyAlignment="1" applyProtection="1">
      <alignment horizontal="right" vertical="center"/>
    </xf>
    <xf numFmtId="170" fontId="9" fillId="0" borderId="9" xfId="0" applyNumberFormat="1" applyFont="1" applyBorder="1" applyAlignment="1" applyProtection="1">
      <alignment horizontal="right" vertical="center"/>
    </xf>
    <xf numFmtId="4" fontId="13" fillId="0" borderId="11" xfId="0" applyFont="1" applyBorder="1" applyAlignment="1" applyProtection="1">
      <alignment horizontal="center" vertical="center" wrapText="1"/>
    </xf>
    <xf numFmtId="170" fontId="13" fillId="0" borderId="11" xfId="0" applyNumberFormat="1" applyFont="1" applyBorder="1" applyAlignment="1" applyProtection="1">
      <alignment horizontal="center" vertical="center" wrapText="1"/>
    </xf>
    <xf numFmtId="49" fontId="13" fillId="0" borderId="11" xfId="0" applyNumberFormat="1" applyFont="1" applyBorder="1" applyProtection="1"/>
    <xf numFmtId="4" fontId="13" fillId="0" borderId="11" xfId="0" applyFont="1" applyBorder="1" applyProtection="1"/>
    <xf numFmtId="4" fontId="9" fillId="0" borderId="10" xfId="0" applyFont="1" applyBorder="1" applyProtection="1"/>
    <xf numFmtId="49" fontId="9" fillId="0" borderId="11" xfId="0" applyNumberFormat="1" applyFont="1" applyBorder="1" applyProtection="1"/>
    <xf numFmtId="4" fontId="9" fillId="0" borderId="11" xfId="0" applyFont="1" applyBorder="1" applyAlignment="1" applyProtection="1"/>
    <xf numFmtId="4" fontId="9" fillId="0" borderId="11" xfId="0" applyFont="1" applyFill="1" applyBorder="1" applyAlignment="1" applyProtection="1"/>
    <xf numFmtId="49" fontId="9" fillId="0" borderId="12" xfId="0" applyNumberFormat="1" applyFont="1" applyBorder="1" applyProtection="1"/>
    <xf numFmtId="4" fontId="13" fillId="0" borderId="10" xfId="0" applyFont="1" applyBorder="1" applyProtection="1"/>
    <xf numFmtId="4" fontId="13" fillId="0" borderId="0" xfId="0" applyFont="1" applyProtection="1"/>
    <xf numFmtId="4" fontId="9" fillId="0" borderId="0" xfId="0" applyFont="1" applyFill="1" applyProtection="1"/>
    <xf numFmtId="4" fontId="9" fillId="0" borderId="12" xfId="0" applyFont="1" applyBorder="1" applyProtection="1"/>
    <xf numFmtId="49" fontId="9" fillId="0" borderId="12" xfId="0" applyNumberFormat="1" applyFont="1" applyBorder="1" applyAlignment="1" applyProtection="1">
      <alignment horizontal="left" vertical="center"/>
    </xf>
    <xf numFmtId="4" fontId="9" fillId="0" borderId="12" xfId="0" applyFont="1" applyBorder="1" applyAlignment="1" applyProtection="1"/>
    <xf numFmtId="170" fontId="9" fillId="0" borderId="0" xfId="0" applyNumberFormat="1" applyFont="1" applyBorder="1" applyProtection="1"/>
    <xf numFmtId="4" fontId="9" fillId="2" borderId="0" xfId="0" applyFont="1" applyFill="1" applyProtection="1"/>
    <xf numFmtId="4" fontId="9" fillId="0" borderId="0" xfId="0" applyFont="1" applyFill="1" applyBorder="1" applyProtection="1"/>
    <xf numFmtId="49" fontId="9" fillId="0" borderId="0" xfId="0" applyNumberFormat="1" applyFont="1" applyBorder="1" applyAlignment="1" applyProtection="1">
      <alignment horizontal="center" vertical="center"/>
    </xf>
    <xf numFmtId="49" fontId="9" fillId="0" borderId="0" xfId="0" applyNumberFormat="1" applyFont="1" applyBorder="1" applyProtection="1"/>
    <xf numFmtId="4" fontId="24" fillId="0" borderId="0" xfId="0" applyFont="1" applyBorder="1" applyAlignment="1" applyProtection="1">
      <alignment horizontal="center" vertical="center"/>
    </xf>
    <xf numFmtId="0" fontId="26" fillId="0" borderId="15" xfId="0" applyNumberFormat="1" applyFont="1" applyBorder="1" applyAlignment="1" applyProtection="1">
      <alignment horizontal="center" vertical="center"/>
    </xf>
    <xf numFmtId="4" fontId="27" fillId="0" borderId="0" xfId="0" applyFont="1" applyBorder="1" applyAlignment="1" applyProtection="1">
      <alignment horizontal="center" vertical="center"/>
    </xf>
    <xf numFmtId="4" fontId="9" fillId="0" borderId="3" xfId="0" applyFont="1" applyBorder="1" applyProtection="1"/>
    <xf numFmtId="4" fontId="9" fillId="0" borderId="4" xfId="0" applyFont="1" applyBorder="1" applyProtection="1"/>
    <xf numFmtId="4" fontId="9" fillId="0" borderId="4" xfId="0" applyFont="1" applyBorder="1" applyAlignment="1" applyProtection="1">
      <alignment horizontal="center" vertical="center"/>
    </xf>
    <xf numFmtId="170" fontId="9" fillId="0" borderId="4" xfId="0" applyNumberFormat="1" applyFont="1" applyBorder="1" applyAlignment="1" applyProtection="1">
      <alignment horizontal="center" vertical="center"/>
    </xf>
    <xf numFmtId="170" fontId="9" fillId="0" borderId="0" xfId="0" applyNumberFormat="1" applyFont="1" applyBorder="1" applyAlignment="1" applyProtection="1">
      <alignment horizontal="center" vertical="center"/>
    </xf>
    <xf numFmtId="4" fontId="9" fillId="0" borderId="0" xfId="0" applyFont="1" applyAlignment="1" applyProtection="1">
      <alignment horizontal="center" vertical="center"/>
    </xf>
    <xf numFmtId="170" fontId="9" fillId="3" borderId="23" xfId="1" applyNumberFormat="1" applyFont="1" applyFill="1" applyBorder="1" applyAlignment="1" applyProtection="1"/>
    <xf numFmtId="4" fontId="9" fillId="3" borderId="0" xfId="0" applyFont="1" applyFill="1"/>
    <xf numFmtId="170" fontId="39" fillId="0" borderId="23" xfId="2" applyNumberFormat="1" applyFont="1" applyFill="1" applyBorder="1" applyProtection="1"/>
    <xf numFmtId="4" fontId="0" fillId="0" borderId="38" xfId="0" applyBorder="1" applyProtection="1"/>
    <xf numFmtId="4" fontId="0" fillId="0" borderId="38" xfId="0" applyFont="1" applyBorder="1" applyProtection="1"/>
    <xf numFmtId="4" fontId="0" fillId="3" borderId="38" xfId="0" applyFill="1" applyBorder="1" applyProtection="1"/>
    <xf numFmtId="4" fontId="0" fillId="0" borderId="40" xfId="0" applyFont="1" applyBorder="1" applyProtection="1"/>
    <xf numFmtId="4" fontId="0" fillId="0" borderId="41" xfId="0" applyFont="1" applyBorder="1" applyProtection="1"/>
    <xf numFmtId="4" fontId="0" fillId="0" borderId="42" xfId="0" applyFont="1" applyBorder="1" applyProtection="1"/>
    <xf numFmtId="4" fontId="0" fillId="0" borderId="41" xfId="0" applyBorder="1" applyProtection="1"/>
    <xf numFmtId="166" fontId="0" fillId="0" borderId="0" xfId="0" applyNumberFormat="1" applyProtection="1"/>
    <xf numFmtId="169" fontId="13" fillId="0" borderId="0" xfId="0" applyNumberFormat="1" applyFont="1" applyBorder="1" applyAlignment="1" applyProtection="1">
      <alignment horizontal="center"/>
    </xf>
    <xf numFmtId="168" fontId="13" fillId="0" borderId="30" xfId="0" applyNumberFormat="1" applyFont="1" applyBorder="1" applyAlignment="1" applyProtection="1">
      <alignment horizontal="center"/>
    </xf>
    <xf numFmtId="170" fontId="9" fillId="2" borderId="11" xfId="0" applyNumberFormat="1" applyFont="1" applyFill="1" applyBorder="1" applyProtection="1"/>
    <xf numFmtId="4" fontId="9" fillId="0" borderId="0" xfId="0" applyFont="1" applyAlignment="1" applyProtection="1">
      <alignment vertical="center"/>
    </xf>
    <xf numFmtId="170" fontId="32" fillId="0" borderId="44" xfId="0" applyNumberFormat="1" applyFont="1" applyFill="1" applyBorder="1" applyAlignment="1" applyProtection="1">
      <alignment horizontal="center"/>
    </xf>
    <xf numFmtId="170" fontId="9" fillId="0" borderId="44" xfId="2" applyNumberFormat="1" applyFont="1" applyFill="1" applyBorder="1" applyProtection="1"/>
    <xf numFmtId="170" fontId="9" fillId="0" borderId="44" xfId="1" applyNumberFormat="1" applyFont="1" applyFill="1" applyBorder="1" applyAlignment="1" applyProtection="1"/>
    <xf numFmtId="170" fontId="9" fillId="0" borderId="0" xfId="2" applyNumberFormat="1" applyFont="1" applyFill="1" applyBorder="1" applyProtection="1"/>
    <xf numFmtId="4" fontId="50" fillId="0" borderId="0" xfId="0" applyFont="1"/>
    <xf numFmtId="49" fontId="50" fillId="0" borderId="0" xfId="2" applyNumberFormat="1" applyFont="1"/>
    <xf numFmtId="49" fontId="50" fillId="0" borderId="0" xfId="22" applyNumberFormat="1" applyFont="1"/>
    <xf numFmtId="49" fontId="50" fillId="0" borderId="0" xfId="140" applyNumberFormat="1" applyFont="1"/>
    <xf numFmtId="49" fontId="50" fillId="0" borderId="0" xfId="147" applyNumberFormat="1" applyFont="1"/>
    <xf numFmtId="49" fontId="50" fillId="0" borderId="0" xfId="165" applyNumberFormat="1" applyFont="1"/>
    <xf numFmtId="49" fontId="50" fillId="0" borderId="0" xfId="178" applyNumberFormat="1" applyFont="1"/>
    <xf numFmtId="49" fontId="50" fillId="0" borderId="0" xfId="230" applyNumberFormat="1" applyFont="1"/>
    <xf numFmtId="49" fontId="50" fillId="0" borderId="0" xfId="217" applyNumberFormat="1" applyFont="1"/>
    <xf numFmtId="49" fontId="50" fillId="0" borderId="0" xfId="269" applyNumberFormat="1" applyFont="1"/>
    <xf numFmtId="49" fontId="50" fillId="0" borderId="0" xfId="256" applyNumberFormat="1" applyFont="1"/>
    <xf numFmtId="49" fontId="50" fillId="0" borderId="0" xfId="243" applyNumberFormat="1" applyFont="1"/>
    <xf numFmtId="49" fontId="50" fillId="0" borderId="0" xfId="204" applyNumberFormat="1" applyFont="1"/>
    <xf numFmtId="49" fontId="50" fillId="0" borderId="0" xfId="321" applyNumberFormat="1" applyFont="1"/>
    <xf numFmtId="4" fontId="51" fillId="0" borderId="0" xfId="0" applyFont="1"/>
    <xf numFmtId="4" fontId="54" fillId="0" borderId="0" xfId="0" applyFont="1"/>
    <xf numFmtId="4" fontId="0" fillId="0" borderId="0" xfId="0" applyAlignment="1">
      <alignment horizontal="center"/>
    </xf>
    <xf numFmtId="49" fontId="52" fillId="0" borderId="0" xfId="1298" applyNumberFormat="1" applyFont="1"/>
    <xf numFmtId="3" fontId="0" fillId="0" borderId="0" xfId="0" applyNumberFormat="1" applyAlignment="1">
      <alignment horizontal="center"/>
    </xf>
    <xf numFmtId="0" fontId="53" fillId="9" borderId="39" xfId="1329" applyFont="1" applyFill="1" applyBorder="1" applyAlignment="1">
      <alignment horizontal="center" vertical="center" wrapText="1"/>
    </xf>
    <xf numFmtId="0" fontId="53" fillId="9" borderId="38" xfId="1329" applyFont="1" applyFill="1" applyBorder="1" applyAlignment="1">
      <alignment horizontal="center" vertical="center" wrapText="1"/>
    </xf>
    <xf numFmtId="0" fontId="53" fillId="9" borderId="50" xfId="1242" applyFont="1" applyFill="1" applyBorder="1" applyAlignment="1">
      <alignment vertical="center" wrapText="1"/>
    </xf>
    <xf numFmtId="4" fontId="9" fillId="0" borderId="11" xfId="0" applyNumberFormat="1" applyFont="1" applyFill="1" applyBorder="1" applyAlignment="1" applyProtection="1">
      <alignment vertical="center"/>
    </xf>
    <xf numFmtId="4" fontId="9" fillId="0" borderId="11" xfId="0" applyNumberFormat="1" applyFont="1" applyFill="1" applyBorder="1" applyProtection="1"/>
    <xf numFmtId="49" fontId="52" fillId="0" borderId="0" xfId="1265" applyNumberFormat="1" applyFont="1" applyProtection="1"/>
    <xf numFmtId="49" fontId="52" fillId="0" borderId="0" xfId="1228" applyNumberFormat="1" applyFont="1" applyProtection="1"/>
    <xf numFmtId="49" fontId="52" fillId="0" borderId="0" xfId="1185" applyNumberFormat="1" applyFont="1" applyProtection="1"/>
    <xf numFmtId="49" fontId="52" fillId="0" borderId="0" xfId="1146" applyNumberFormat="1" applyFont="1" applyProtection="1"/>
    <xf numFmtId="49" fontId="52" fillId="0" borderId="0" xfId="1108" applyNumberFormat="1" applyFont="1" applyProtection="1"/>
    <xf numFmtId="49" fontId="52" fillId="0" borderId="0" xfId="1067" applyNumberFormat="1" applyFont="1" applyProtection="1"/>
    <xf numFmtId="49" fontId="52" fillId="0" borderId="0" xfId="1026" applyNumberFormat="1" applyFont="1" applyProtection="1"/>
    <xf numFmtId="49" fontId="52" fillId="0" borderId="0" xfId="983" applyNumberFormat="1" applyFont="1" applyProtection="1"/>
    <xf numFmtId="49" fontId="52" fillId="0" borderId="0" xfId="940" applyNumberFormat="1" applyFont="1" applyProtection="1"/>
    <xf numFmtId="49" fontId="52" fillId="0" borderId="0" xfId="901" applyNumberFormat="1" applyFont="1" applyProtection="1"/>
    <xf numFmtId="49" fontId="52" fillId="0" borderId="0" xfId="862" applyNumberFormat="1" applyFont="1" applyProtection="1"/>
    <xf numFmtId="49" fontId="52" fillId="0" borderId="0" xfId="824" applyNumberFormat="1" applyFont="1" applyProtection="1"/>
    <xf numFmtId="49" fontId="52" fillId="0" borderId="0" xfId="782" applyNumberFormat="1" applyFont="1" applyProtection="1"/>
    <xf numFmtId="49" fontId="52" fillId="0" borderId="0" xfId="743" applyNumberFormat="1" applyFont="1" applyProtection="1"/>
    <xf numFmtId="49" fontId="52" fillId="0" borderId="0" xfId="700" applyNumberFormat="1" applyFont="1" applyProtection="1"/>
    <xf numFmtId="49" fontId="52" fillId="0" borderId="0" xfId="658" applyNumberFormat="1" applyFont="1" applyProtection="1"/>
    <xf numFmtId="49" fontId="52" fillId="0" borderId="0" xfId="611" applyNumberFormat="1" applyFont="1" applyProtection="1"/>
    <xf numFmtId="49" fontId="52" fillId="0" borderId="0" xfId="335" applyNumberFormat="1" applyFont="1" applyProtection="1"/>
    <xf numFmtId="4" fontId="0" fillId="0" borderId="0" xfId="0" applyFill="1" applyBorder="1"/>
    <xf numFmtId="170" fontId="9" fillId="3" borderId="0" xfId="2" applyNumberFormat="1" applyFont="1" applyFill="1" applyBorder="1" applyProtection="1"/>
    <xf numFmtId="170" fontId="32" fillId="3" borderId="0" xfId="0" applyNumberFormat="1" applyFont="1" applyFill="1" applyBorder="1" applyProtection="1"/>
    <xf numFmtId="170" fontId="32" fillId="0" borderId="0" xfId="0" applyNumberFormat="1" applyFont="1" applyFill="1" applyBorder="1" applyProtection="1"/>
    <xf numFmtId="4" fontId="9" fillId="0" borderId="7" xfId="0" applyFont="1" applyBorder="1" applyAlignment="1" applyProtection="1">
      <alignment vertical="center"/>
    </xf>
    <xf numFmtId="4" fontId="9" fillId="0" borderId="9" xfId="0" applyFont="1" applyBorder="1" applyAlignment="1" applyProtection="1">
      <alignment vertical="center"/>
    </xf>
    <xf numFmtId="49" fontId="13" fillId="0" borderId="58" xfId="0" applyNumberFormat="1" applyFont="1" applyBorder="1" applyProtection="1"/>
    <xf numFmtId="170" fontId="55" fillId="0" borderId="38" xfId="0" applyNumberFormat="1" applyFont="1" applyFill="1" applyBorder="1" applyAlignment="1" applyProtection="1">
      <alignment horizontal="left" vertical="center"/>
    </xf>
    <xf numFmtId="49" fontId="9" fillId="0" borderId="38" xfId="0" applyNumberFormat="1" applyFont="1" applyFill="1" applyBorder="1" applyAlignment="1" applyProtection="1">
      <alignment horizontal="left" vertical="center"/>
    </xf>
    <xf numFmtId="4" fontId="9" fillId="0" borderId="38" xfId="0" applyFont="1" applyBorder="1" applyProtection="1"/>
    <xf numFmtId="170" fontId="32" fillId="0" borderId="38" xfId="0" applyNumberFormat="1" applyFont="1" applyFill="1" applyBorder="1" applyProtection="1"/>
    <xf numFmtId="49" fontId="21" fillId="0" borderId="4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 applyProtection="1">
      <alignment vertical="center"/>
    </xf>
    <xf numFmtId="167" fontId="14" fillId="0" borderId="0" xfId="0" applyNumberFormat="1" applyFont="1" applyBorder="1" applyAlignment="1" applyProtection="1">
      <alignment vertical="center"/>
    </xf>
    <xf numFmtId="4" fontId="21" fillId="0" borderId="0" xfId="0" applyFont="1" applyBorder="1" applyAlignment="1" applyProtection="1">
      <alignment horizontal="center"/>
    </xf>
    <xf numFmtId="49" fontId="9" fillId="0" borderId="0" xfId="0" applyNumberFormat="1" applyFont="1" applyFill="1" applyBorder="1" applyAlignment="1" applyProtection="1">
      <alignment vertical="center" wrapText="1"/>
    </xf>
    <xf numFmtId="4" fontId="9" fillId="0" borderId="64" xfId="0" applyFont="1" applyBorder="1" applyAlignment="1" applyProtection="1">
      <alignment horizontal="center" vertical="center"/>
    </xf>
    <xf numFmtId="4" fontId="9" fillId="0" borderId="11" xfId="0" applyFont="1" applyBorder="1" applyAlignment="1" applyProtection="1">
      <alignment horizontal="center" vertical="center"/>
    </xf>
    <xf numFmtId="4" fontId="30" fillId="0" borderId="15" xfId="0" applyFont="1" applyFill="1" applyBorder="1" applyAlignment="1">
      <alignment horizontal="center" vertical="center"/>
    </xf>
    <xf numFmtId="4" fontId="56" fillId="0" borderId="28" xfId="0" applyFont="1" applyBorder="1" applyProtection="1"/>
    <xf numFmtId="171" fontId="56" fillId="0" borderId="0" xfId="0" applyNumberFormat="1" applyFont="1" applyBorder="1" applyAlignment="1" applyProtection="1">
      <alignment horizontal="center"/>
    </xf>
    <xf numFmtId="4" fontId="10" fillId="0" borderId="68" xfId="0" applyFont="1" applyBorder="1" applyAlignment="1" applyProtection="1">
      <alignment wrapText="1"/>
    </xf>
    <xf numFmtId="49" fontId="57" fillId="0" borderId="11" xfId="0" applyNumberFormat="1" applyFont="1" applyFill="1" applyBorder="1" applyAlignment="1" applyProtection="1">
      <alignment horizontal="center" vertical="center"/>
    </xf>
    <xf numFmtId="49" fontId="57" fillId="0" borderId="12" xfId="0" applyNumberFormat="1" applyFont="1" applyFill="1" applyBorder="1" applyAlignment="1" applyProtection="1">
      <alignment horizontal="left" vertical="center"/>
    </xf>
    <xf numFmtId="4" fontId="58" fillId="0" borderId="10" xfId="0" applyFont="1" applyBorder="1" applyProtection="1"/>
    <xf numFmtId="4" fontId="39" fillId="0" borderId="11" xfId="0" applyFont="1" applyBorder="1" applyAlignment="1" applyProtection="1">
      <alignment horizontal="center" vertical="center"/>
    </xf>
    <xf numFmtId="170" fontId="39" fillId="0" borderId="11" xfId="0" applyNumberFormat="1" applyFont="1" applyBorder="1" applyProtection="1"/>
    <xf numFmtId="4" fontId="39" fillId="0" borderId="11" xfId="0" applyNumberFormat="1" applyFont="1" applyFill="1" applyBorder="1" applyProtection="1"/>
    <xf numFmtId="4" fontId="39" fillId="0" borderId="0" xfId="0" applyFont="1" applyProtection="1"/>
    <xf numFmtId="4" fontId="39" fillId="0" borderId="11" xfId="0" applyFont="1" applyFill="1" applyBorder="1" applyAlignment="1" applyProtection="1">
      <alignment horizontal="center" vertical="center"/>
    </xf>
    <xf numFmtId="170" fontId="39" fillId="0" borderId="11" xfId="0" applyNumberFormat="1" applyFont="1" applyFill="1" applyBorder="1" applyProtection="1"/>
    <xf numFmtId="4" fontId="39" fillId="0" borderId="0" xfId="0" applyFont="1" applyFill="1" applyProtection="1"/>
    <xf numFmtId="4" fontId="39" fillId="0" borderId="11" xfId="0" applyFont="1" applyBorder="1" applyProtection="1"/>
    <xf numFmtId="4" fontId="39" fillId="2" borderId="11" xfId="0" applyNumberFormat="1" applyFont="1" applyFill="1" applyBorder="1" applyProtection="1"/>
    <xf numFmtId="4" fontId="13" fillId="0" borderId="71" xfId="0" applyFont="1" applyBorder="1" applyProtection="1"/>
    <xf numFmtId="4" fontId="19" fillId="0" borderId="59" xfId="0" applyFont="1" applyBorder="1" applyProtection="1"/>
    <xf numFmtId="4" fontId="9" fillId="0" borderId="59" xfId="0" applyFont="1" applyBorder="1" applyProtection="1"/>
    <xf numFmtId="49" fontId="17" fillId="0" borderId="59" xfId="0" applyNumberFormat="1" applyFont="1" applyFill="1" applyBorder="1" applyAlignment="1" applyProtection="1">
      <alignment horizontal="left" vertical="center"/>
    </xf>
    <xf numFmtId="49" fontId="9" fillId="0" borderId="59" xfId="0" applyNumberFormat="1" applyFont="1" applyFill="1" applyBorder="1" applyAlignment="1" applyProtection="1">
      <alignment vertical="center" wrapText="1"/>
    </xf>
    <xf numFmtId="4" fontId="19" fillId="0" borderId="9" xfId="0" applyFont="1" applyBorder="1" applyProtection="1"/>
    <xf numFmtId="4" fontId="9" fillId="0" borderId="9" xfId="0" applyFont="1" applyBorder="1" applyProtection="1"/>
    <xf numFmtId="4" fontId="13" fillId="0" borderId="58" xfId="0" applyFont="1" applyBorder="1" applyAlignment="1" applyProtection="1">
      <alignment horizontal="center" vertical="center" wrapText="1"/>
    </xf>
    <xf numFmtId="170" fontId="13" fillId="0" borderId="58" xfId="0" applyNumberFormat="1" applyFont="1" applyBorder="1" applyAlignment="1" applyProtection="1">
      <alignment horizontal="center" vertical="center" wrapText="1"/>
    </xf>
    <xf numFmtId="4" fontId="9" fillId="0" borderId="38" xfId="0" applyFont="1" applyBorder="1" applyAlignment="1" applyProtection="1">
      <alignment horizontal="center" vertical="center"/>
    </xf>
    <xf numFmtId="170" fontId="9" fillId="0" borderId="38" xfId="0" applyNumberFormat="1" applyFont="1" applyBorder="1" applyProtection="1"/>
    <xf numFmtId="4" fontId="9" fillId="0" borderId="38" xfId="0" applyNumberFormat="1" applyFont="1" applyBorder="1" applyProtection="1"/>
    <xf numFmtId="4" fontId="9" fillId="0" borderId="38" xfId="0" applyNumberFormat="1" applyFont="1" applyBorder="1" applyAlignment="1" applyProtection="1">
      <alignment vertical="center"/>
    </xf>
    <xf numFmtId="4" fontId="9" fillId="0" borderId="38" xfId="0" applyFont="1" applyFill="1" applyBorder="1" applyAlignment="1" applyProtection="1">
      <alignment horizontal="center" vertical="center"/>
    </xf>
    <xf numFmtId="4" fontId="9" fillId="0" borderId="38" xfId="0" applyNumberFormat="1" applyFont="1" applyFill="1" applyBorder="1" applyAlignment="1" applyProtection="1">
      <alignment vertical="center"/>
    </xf>
    <xf numFmtId="170" fontId="9" fillId="0" borderId="38" xfId="1" applyNumberFormat="1" applyFont="1" applyFill="1" applyBorder="1" applyAlignment="1" applyProtection="1"/>
    <xf numFmtId="170" fontId="9" fillId="0" borderId="38" xfId="2" applyNumberFormat="1" applyFont="1" applyFill="1" applyBorder="1" applyProtection="1"/>
    <xf numFmtId="170" fontId="9" fillId="0" borderId="38" xfId="0" applyNumberFormat="1" applyFont="1" applyBorder="1" applyAlignment="1" applyProtection="1">
      <alignment vertical="center"/>
    </xf>
    <xf numFmtId="170" fontId="9" fillId="0" borderId="38" xfId="0" applyNumberFormat="1" applyFont="1" applyFill="1" applyBorder="1" applyAlignment="1" applyProtection="1">
      <alignment vertical="center"/>
    </xf>
    <xf numFmtId="0" fontId="59" fillId="0" borderId="0" xfId="1526"/>
    <xf numFmtId="0" fontId="61" fillId="0" borderId="0" xfId="1526" applyFont="1"/>
    <xf numFmtId="0" fontId="54" fillId="0" borderId="0" xfId="1526" applyFont="1"/>
    <xf numFmtId="0" fontId="62" fillId="0" borderId="0" xfId="1526" applyFont="1"/>
    <xf numFmtId="0" fontId="62" fillId="0" borderId="0" xfId="1526" applyFont="1" applyAlignment="1">
      <alignment horizontal="center"/>
    </xf>
    <xf numFmtId="0" fontId="59" fillId="0" borderId="65" xfId="1526" applyBorder="1"/>
    <xf numFmtId="0" fontId="59" fillId="0" borderId="72" xfId="1526" applyBorder="1" applyAlignment="1">
      <alignment horizontal="center"/>
    </xf>
    <xf numFmtId="2" fontId="59" fillId="0" borderId="72" xfId="1526" applyNumberFormat="1" applyBorder="1" applyAlignment="1">
      <alignment horizontal="center"/>
    </xf>
    <xf numFmtId="172" fontId="59" fillId="0" borderId="0" xfId="1526" applyNumberFormat="1" applyBorder="1" applyAlignment="1">
      <alignment horizontal="right"/>
    </xf>
    <xf numFmtId="173" fontId="59" fillId="0" borderId="0" xfId="1526" applyNumberFormat="1" applyBorder="1" applyAlignment="1">
      <alignment horizontal="right"/>
    </xf>
    <xf numFmtId="3" fontId="59" fillId="0" borderId="72" xfId="1526" applyNumberFormat="1" applyBorder="1" applyAlignment="1">
      <alignment horizontal="center"/>
    </xf>
    <xf numFmtId="164" fontId="59" fillId="0" borderId="0" xfId="1526" applyNumberFormat="1" applyBorder="1" applyAlignment="1">
      <alignment horizontal="right"/>
    </xf>
    <xf numFmtId="0" fontId="59" fillId="0" borderId="73" xfId="1526" applyBorder="1" applyAlignment="1">
      <alignment horizontal="center"/>
    </xf>
    <xf numFmtId="2" fontId="59" fillId="0" borderId="73" xfId="1526" applyNumberFormat="1" applyBorder="1" applyAlignment="1">
      <alignment horizontal="center"/>
    </xf>
    <xf numFmtId="173" fontId="59" fillId="0" borderId="0" xfId="1526" applyNumberFormat="1" applyBorder="1" applyAlignment="1"/>
    <xf numFmtId="0" fontId="62" fillId="0" borderId="0" xfId="1526" applyFont="1" applyAlignment="1">
      <alignment horizontal="right"/>
    </xf>
    <xf numFmtId="0" fontId="64" fillId="0" borderId="65" xfId="1526" applyFont="1" applyBorder="1" applyAlignment="1">
      <alignment horizontal="center" vertical="center" wrapText="1"/>
    </xf>
    <xf numFmtId="0" fontId="64" fillId="0" borderId="0" xfId="1526" applyFont="1" applyBorder="1" applyAlignment="1">
      <alignment horizontal="center" vertical="center"/>
    </xf>
    <xf numFmtId="0" fontId="63" fillId="0" borderId="0" xfId="1526" applyFont="1" applyAlignment="1">
      <alignment vertical="center"/>
    </xf>
    <xf numFmtId="0" fontId="59" fillId="0" borderId="73" xfId="1526" applyBorder="1" applyAlignment="1">
      <alignment horizontal="left"/>
    </xf>
    <xf numFmtId="0" fontId="0" fillId="0" borderId="72" xfId="1526" applyFont="1" applyBorder="1" applyAlignment="1">
      <alignment horizontal="center"/>
    </xf>
    <xf numFmtId="2" fontId="59" fillId="0" borderId="0" xfId="1526" applyNumberFormat="1" applyAlignment="1">
      <alignment horizontal="center"/>
    </xf>
    <xf numFmtId="0" fontId="59" fillId="0" borderId="0" xfId="1526" applyAlignment="1">
      <alignment horizontal="right"/>
    </xf>
    <xf numFmtId="49" fontId="21" fillId="0" borderId="0" xfId="0" applyNumberFormat="1" applyFont="1" applyFill="1" applyBorder="1" applyAlignment="1" applyProtection="1">
      <alignment horizontal="right" vertical="center"/>
    </xf>
    <xf numFmtId="49" fontId="18" fillId="0" borderId="58" xfId="0" applyNumberFormat="1" applyFont="1" applyFill="1" applyBorder="1" applyAlignment="1" applyProtection="1">
      <alignment horizontal="left" vertical="center"/>
    </xf>
    <xf numFmtId="4" fontId="13" fillId="0" borderId="58" xfId="0" applyFont="1" applyBorder="1" applyProtection="1"/>
    <xf numFmtId="4" fontId="9" fillId="0" borderId="58" xfId="0" applyFont="1" applyBorder="1" applyAlignment="1" applyProtection="1">
      <alignment horizontal="center" vertical="center"/>
    </xf>
    <xf numFmtId="170" fontId="9" fillId="0" borderId="58" xfId="0" applyNumberFormat="1" applyFont="1" applyBorder="1" applyProtection="1"/>
    <xf numFmtId="4" fontId="9" fillId="0" borderId="58" xfId="0" applyFont="1" applyFill="1" applyBorder="1" applyProtection="1"/>
    <xf numFmtId="4" fontId="9" fillId="0" borderId="38" xfId="0" applyFont="1" applyFill="1" applyBorder="1" applyProtection="1"/>
    <xf numFmtId="4" fontId="13" fillId="0" borderId="74" xfId="0" applyFont="1" applyBorder="1" applyProtection="1"/>
    <xf numFmtId="49" fontId="57" fillId="0" borderId="12" xfId="0" applyNumberFormat="1" applyFont="1" applyFill="1" applyBorder="1" applyAlignment="1" applyProtection="1">
      <alignment horizontal="center" vertical="center"/>
    </xf>
    <xf numFmtId="49" fontId="39" fillId="0" borderId="12" xfId="0" applyNumberFormat="1" applyFont="1" applyFill="1" applyBorder="1" applyAlignment="1" applyProtection="1">
      <alignment horizontal="center" vertical="center"/>
    </xf>
    <xf numFmtId="49" fontId="39" fillId="0" borderId="12" xfId="0" applyNumberFormat="1" applyFont="1" applyBorder="1" applyAlignment="1" applyProtection="1">
      <alignment horizontal="center" vertical="center"/>
    </xf>
    <xf numFmtId="49" fontId="39" fillId="0" borderId="11" xfId="0" applyNumberFormat="1" applyFont="1" applyBorder="1" applyProtection="1"/>
    <xf numFmtId="49" fontId="57" fillId="0" borderId="38" xfId="0" applyNumberFormat="1" applyFont="1" applyFill="1" applyBorder="1" applyAlignment="1" applyProtection="1">
      <alignment horizontal="center" vertical="center"/>
    </xf>
    <xf numFmtId="43" fontId="51" fillId="0" borderId="0" xfId="0" applyNumberFormat="1" applyFont="1"/>
    <xf numFmtId="43" fontId="50" fillId="0" borderId="0" xfId="0" applyNumberFormat="1" applyFont="1"/>
    <xf numFmtId="43" fontId="50" fillId="0" borderId="65" xfId="0" applyNumberFormat="1" applyFont="1" applyBorder="1"/>
    <xf numFmtId="4" fontId="9" fillId="10" borderId="38" xfId="0" applyFont="1" applyFill="1" applyBorder="1" applyProtection="1"/>
    <xf numFmtId="170" fontId="9" fillId="11" borderId="38" xfId="0" applyNumberFormat="1" applyFont="1" applyFill="1" applyBorder="1" applyProtection="1">
      <protection locked="0"/>
    </xf>
    <xf numFmtId="170" fontId="9" fillId="11" borderId="38" xfId="0" applyNumberFormat="1" applyFont="1" applyFill="1" applyBorder="1" applyAlignment="1" applyProtection="1">
      <alignment vertical="center"/>
      <protection locked="0"/>
    </xf>
    <xf numFmtId="170" fontId="9" fillId="11" borderId="11" xfId="0" applyNumberFormat="1" applyFont="1" applyFill="1" applyBorder="1" applyProtection="1">
      <protection locked="0"/>
    </xf>
    <xf numFmtId="175" fontId="0" fillId="0" borderId="0" xfId="0" applyNumberFormat="1"/>
    <xf numFmtId="3" fontId="0" fillId="0" borderId="0" xfId="0" applyNumberFormat="1"/>
    <xf numFmtId="4" fontId="0" fillId="3" borderId="0" xfId="0" applyFill="1"/>
    <xf numFmtId="4" fontId="0" fillId="0" borderId="0" xfId="0" applyAlignment="1"/>
    <xf numFmtId="0" fontId="65" fillId="0" borderId="38" xfId="59" applyNumberFormat="1" applyFont="1" applyFill="1" applyBorder="1" applyProtection="1">
      <protection locked="0"/>
    </xf>
    <xf numFmtId="10" fontId="7" fillId="0" borderId="0" xfId="3" applyNumberFormat="1"/>
    <xf numFmtId="4" fontId="13" fillId="0" borderId="0" xfId="0" applyFont="1" applyBorder="1" applyAlignment="1" applyProtection="1">
      <alignment horizontal="center"/>
    </xf>
    <xf numFmtId="4" fontId="7" fillId="0" borderId="0" xfId="1526" applyNumberFormat="1" applyFont="1" applyAlignment="1">
      <alignment horizontal="left" vertical="center"/>
    </xf>
    <xf numFmtId="49" fontId="52" fillId="0" borderId="0" xfId="1298" applyNumberFormat="1" applyFont="1" applyFill="1"/>
    <xf numFmtId="4" fontId="0" fillId="0" borderId="0" xfId="0" applyFill="1"/>
    <xf numFmtId="4" fontId="0" fillId="0" borderId="0" xfId="0" applyAlignment="1">
      <alignment wrapText="1"/>
    </xf>
    <xf numFmtId="4" fontId="0" fillId="0" borderId="0" xfId="0" applyFill="1" applyBorder="1" applyAlignment="1">
      <alignment wrapText="1"/>
    </xf>
    <xf numFmtId="49" fontId="67" fillId="0" borderId="0" xfId="1298" quotePrefix="1" applyNumberFormat="1" applyFont="1" applyAlignment="1">
      <alignment horizontal="center" vertical="center" wrapText="1"/>
    </xf>
    <xf numFmtId="4" fontId="53" fillId="9" borderId="94" xfId="0" applyFont="1" applyFill="1" applyBorder="1" applyAlignment="1">
      <alignment horizontal="center" vertical="center" wrapText="1"/>
    </xf>
    <xf numFmtId="4" fontId="53" fillId="9" borderId="50" xfId="0" applyFont="1" applyFill="1" applyBorder="1" applyAlignment="1">
      <alignment horizontal="center" vertical="center" wrapText="1"/>
    </xf>
    <xf numFmtId="4" fontId="0" fillId="0" borderId="0" xfId="0" applyAlignment="1">
      <alignment horizontal="center" vertical="center"/>
    </xf>
    <xf numFmtId="0" fontId="53" fillId="9" borderId="50" xfId="59" applyFont="1" applyFill="1" applyBorder="1" applyAlignment="1">
      <alignment horizontal="center" vertical="center" wrapText="1"/>
    </xf>
    <xf numFmtId="0" fontId="53" fillId="9" borderId="51" xfId="1064" applyFont="1" applyFill="1" applyBorder="1" applyAlignment="1">
      <alignment horizontal="center" vertical="center" wrapText="1"/>
    </xf>
    <xf numFmtId="0" fontId="53" fillId="9" borderId="50" xfId="1064" applyFont="1" applyFill="1" applyBorder="1" applyAlignment="1">
      <alignment horizontal="center" vertical="center" wrapText="1"/>
    </xf>
    <xf numFmtId="0" fontId="53" fillId="9" borderId="52" xfId="1064" applyFont="1" applyFill="1" applyBorder="1" applyAlignment="1">
      <alignment horizontal="center" vertical="center" wrapText="1"/>
    </xf>
    <xf numFmtId="0" fontId="53" fillId="9" borderId="50" xfId="1413" applyFont="1" applyFill="1" applyBorder="1" applyAlignment="1">
      <alignment horizontal="center" vertical="center" wrapText="1"/>
    </xf>
    <xf numFmtId="0" fontId="53" fillId="9" borderId="52" xfId="1413" applyFont="1" applyFill="1" applyBorder="1" applyAlignment="1">
      <alignment horizontal="center" vertical="center" wrapText="1"/>
    </xf>
    <xf numFmtId="0" fontId="53" fillId="9" borderId="51" xfId="1242" applyFont="1" applyFill="1" applyBorder="1" applyAlignment="1">
      <alignment horizontal="center" vertical="center" wrapText="1"/>
    </xf>
    <xf numFmtId="0" fontId="53" fillId="9" borderId="50" xfId="1242" applyFont="1" applyFill="1" applyBorder="1" applyAlignment="1">
      <alignment horizontal="center" vertical="center" wrapText="1"/>
    </xf>
    <xf numFmtId="4" fontId="53" fillId="9" borderId="39" xfId="0" applyFont="1" applyFill="1" applyBorder="1" applyAlignment="1">
      <alignment horizontal="center" vertical="center" wrapText="1"/>
    </xf>
    <xf numFmtId="4" fontId="9" fillId="0" borderId="0" xfId="0" applyNumberFormat="1" applyFont="1" applyBorder="1" applyProtection="1"/>
    <xf numFmtId="4" fontId="9" fillId="13" borderId="0" xfId="0" applyFont="1" applyFill="1" applyAlignment="1">
      <alignment horizontal="center" vertical="center"/>
    </xf>
    <xf numFmtId="49" fontId="32" fillId="13" borderId="0" xfId="0" applyNumberFormat="1" applyFont="1" applyFill="1" applyBorder="1" applyAlignment="1" applyProtection="1">
      <alignment horizontal="center" vertical="center"/>
    </xf>
    <xf numFmtId="49" fontId="35" fillId="13" borderId="0" xfId="0" applyNumberFormat="1" applyFont="1" applyFill="1" applyBorder="1"/>
    <xf numFmtId="4" fontId="35" fillId="13" borderId="0" xfId="0" applyFont="1" applyFill="1" applyBorder="1"/>
    <xf numFmtId="4" fontId="35" fillId="13" borderId="0" xfId="0" applyFont="1" applyFill="1" applyBorder="1" applyAlignment="1">
      <alignment horizontal="center" vertical="center"/>
    </xf>
    <xf numFmtId="4" fontId="9" fillId="13" borderId="0" xfId="0" applyFont="1" applyFill="1"/>
    <xf numFmtId="49" fontId="32" fillId="13" borderId="0" xfId="0" applyNumberFormat="1" applyFont="1" applyFill="1" applyBorder="1" applyProtection="1"/>
    <xf numFmtId="4" fontId="9" fillId="13" borderId="0" xfId="0" applyFont="1" applyFill="1" applyBorder="1" applyAlignment="1"/>
    <xf numFmtId="4" fontId="9" fillId="13" borderId="0" xfId="0" applyFont="1" applyFill="1" applyBorder="1" applyAlignment="1">
      <alignment horizontal="center" vertical="center"/>
    </xf>
    <xf numFmtId="4" fontId="9" fillId="13" borderId="0" xfId="0" applyFont="1" applyFill="1" applyBorder="1"/>
    <xf numFmtId="49" fontId="9" fillId="13" borderId="0" xfId="0" applyNumberFormat="1" applyFont="1" applyFill="1" applyBorder="1" applyAlignment="1">
      <alignment horizontal="center" vertical="center"/>
    </xf>
    <xf numFmtId="4" fontId="9" fillId="0" borderId="0" xfId="0" applyFont="1" applyFill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/>
    <xf numFmtId="49" fontId="9" fillId="13" borderId="0" xfId="0" applyNumberFormat="1" applyFont="1" applyFill="1" applyBorder="1"/>
    <xf numFmtId="4" fontId="35" fillId="13" borderId="0" xfId="0" applyFont="1" applyFill="1"/>
    <xf numFmtId="4" fontId="35" fillId="13" borderId="0" xfId="0" applyFont="1" applyFill="1" applyAlignment="1">
      <alignment horizontal="center" vertical="center"/>
    </xf>
    <xf numFmtId="4" fontId="13" fillId="0" borderId="30" xfId="0" applyFont="1" applyBorder="1" applyAlignment="1" applyProtection="1">
      <alignment horizontal="center"/>
    </xf>
    <xf numFmtId="4" fontId="7" fillId="0" borderId="0" xfId="1526" applyNumberFormat="1" applyFont="1" applyAlignment="1">
      <alignment vertical="center"/>
    </xf>
    <xf numFmtId="4" fontId="0" fillId="0" borderId="0" xfId="1526" applyNumberFormat="1" applyFont="1" applyAlignment="1">
      <alignment vertical="center"/>
    </xf>
    <xf numFmtId="9" fontId="7" fillId="0" borderId="65" xfId="3" applyBorder="1"/>
    <xf numFmtId="2" fontId="59" fillId="0" borderId="65" xfId="1526" applyNumberFormat="1" applyBorder="1"/>
    <xf numFmtId="0" fontId="59" fillId="0" borderId="90" xfId="1526" applyBorder="1" applyAlignment="1">
      <alignment horizontal="center"/>
    </xf>
    <xf numFmtId="169" fontId="9" fillId="14" borderId="28" xfId="0" applyNumberFormat="1" applyFont="1" applyFill="1" applyBorder="1" applyAlignment="1" applyProtection="1">
      <alignment horizontal="center"/>
      <protection locked="0"/>
    </xf>
    <xf numFmtId="169" fontId="9" fillId="14" borderId="0" xfId="0" applyNumberFormat="1" applyFont="1" applyFill="1" applyBorder="1" applyAlignment="1" applyProtection="1">
      <alignment horizontal="center"/>
      <protection locked="0"/>
    </xf>
    <xf numFmtId="4" fontId="69" fillId="0" borderId="0" xfId="0" applyFont="1"/>
    <xf numFmtId="4" fontId="69" fillId="0" borderId="0" xfId="0" applyFont="1" applyFill="1" applyBorder="1"/>
    <xf numFmtId="4" fontId="69" fillId="0" borderId="38" xfId="0" applyFont="1" applyBorder="1"/>
    <xf numFmtId="4" fontId="69" fillId="0" borderId="87" xfId="0" applyFont="1" applyBorder="1"/>
    <xf numFmtId="4" fontId="69" fillId="0" borderId="86" xfId="0" applyFont="1" applyBorder="1"/>
    <xf numFmtId="4" fontId="69" fillId="0" borderId="84" xfId="0" applyFont="1" applyBorder="1"/>
    <xf numFmtId="4" fontId="69" fillId="0" borderId="92" xfId="0" applyFont="1" applyBorder="1" applyAlignment="1">
      <alignment wrapText="1"/>
    </xf>
    <xf numFmtId="4" fontId="69" fillId="0" borderId="76" xfId="0" applyFont="1" applyBorder="1"/>
    <xf numFmtId="4" fontId="69" fillId="0" borderId="77" xfId="0" applyFont="1" applyBorder="1"/>
    <xf numFmtId="4" fontId="69" fillId="0" borderId="92" xfId="0" applyFont="1" applyBorder="1"/>
    <xf numFmtId="4" fontId="69" fillId="0" borderId="41" xfId="0" applyFont="1" applyBorder="1"/>
    <xf numFmtId="4" fontId="69" fillId="0" borderId="65" xfId="0" applyFont="1" applyBorder="1"/>
    <xf numFmtId="4" fontId="69" fillId="0" borderId="60" xfId="0" applyFont="1" applyBorder="1"/>
    <xf numFmtId="4" fontId="69" fillId="0" borderId="82" xfId="0" applyFont="1" applyBorder="1"/>
    <xf numFmtId="4" fontId="69" fillId="0" borderId="42" xfId="0" applyFont="1" applyBorder="1"/>
    <xf numFmtId="4" fontId="69" fillId="0" borderId="0" xfId="0" applyFont="1" applyAlignment="1">
      <alignment wrapText="1"/>
    </xf>
    <xf numFmtId="4" fontId="69" fillId="0" borderId="0" xfId="0" applyFont="1" applyFill="1" applyBorder="1" applyAlignment="1">
      <alignment wrapText="1"/>
    </xf>
    <xf numFmtId="49" fontId="69" fillId="0" borderId="0" xfId="1298" applyNumberFormat="1" applyFont="1"/>
    <xf numFmtId="10" fontId="69" fillId="0" borderId="0" xfId="3" applyNumberFormat="1" applyFont="1"/>
    <xf numFmtId="49" fontId="69" fillId="0" borderId="0" xfId="1298" applyNumberFormat="1" applyFont="1" applyFill="1"/>
    <xf numFmtId="4" fontId="69" fillId="0" borderId="0" xfId="0" applyFont="1" applyFill="1"/>
    <xf numFmtId="4" fontId="69" fillId="0" borderId="0" xfId="0" applyFont="1" applyBorder="1"/>
    <xf numFmtId="4" fontId="69" fillId="0" borderId="0" xfId="0" applyFont="1" applyAlignment="1">
      <alignment horizontal="center" vertical="center" wrapText="1"/>
    </xf>
    <xf numFmtId="4" fontId="69" fillId="0" borderId="0" xfId="0" applyFont="1" applyFill="1" applyBorder="1" applyAlignment="1">
      <alignment horizontal="center" vertical="center" wrapText="1"/>
    </xf>
    <xf numFmtId="4" fontId="72" fillId="15" borderId="0" xfId="0" applyFont="1" applyFill="1"/>
    <xf numFmtId="4" fontId="69" fillId="15" borderId="0" xfId="0" applyFont="1" applyFill="1"/>
    <xf numFmtId="49" fontId="9" fillId="0" borderId="11" xfId="0" applyNumberFormat="1" applyFont="1" applyBorder="1" applyAlignment="1" applyProtection="1">
      <alignment horizontal="center" vertical="center"/>
    </xf>
    <xf numFmtId="4" fontId="62" fillId="0" borderId="0" xfId="0" applyFont="1"/>
    <xf numFmtId="4" fontId="71" fillId="0" borderId="91" xfId="0" applyFont="1" applyBorder="1" applyAlignment="1">
      <alignment wrapText="1"/>
    </xf>
    <xf numFmtId="4" fontId="71" fillId="0" borderId="92" xfId="0" applyFont="1" applyBorder="1"/>
    <xf numFmtId="4" fontId="69" fillId="0" borderId="100" xfId="0" applyFont="1" applyBorder="1" applyAlignment="1">
      <alignment wrapText="1"/>
    </xf>
    <xf numFmtId="4" fontId="69" fillId="0" borderId="81" xfId="0" applyFont="1" applyBorder="1"/>
    <xf numFmtId="4" fontId="69" fillId="0" borderId="100" xfId="0" applyFont="1" applyBorder="1"/>
    <xf numFmtId="4" fontId="71" fillId="0" borderId="65" xfId="0" applyFont="1" applyBorder="1" applyAlignment="1">
      <alignment wrapText="1"/>
    </xf>
    <xf numFmtId="4" fontId="69" fillId="0" borderId="40" xfId="0" applyFont="1" applyBorder="1"/>
    <xf numFmtId="4" fontId="71" fillId="0" borderId="76" xfId="0" applyFont="1" applyBorder="1"/>
    <xf numFmtId="4" fontId="71" fillId="0" borderId="87" xfId="0" applyFont="1" applyBorder="1"/>
    <xf numFmtId="4" fontId="71" fillId="0" borderId="91" xfId="0" applyFont="1" applyBorder="1"/>
    <xf numFmtId="43" fontId="50" fillId="0" borderId="0" xfId="0" applyNumberFormat="1" applyFont="1" applyFill="1"/>
    <xf numFmtId="170" fontId="9" fillId="11" borderId="38" xfId="0" applyNumberFormat="1" applyFont="1" applyFill="1" applyBorder="1" applyProtection="1"/>
    <xf numFmtId="4" fontId="50" fillId="0" borderId="38" xfId="0" applyFont="1" applyBorder="1"/>
    <xf numFmtId="0" fontId="51" fillId="16" borderId="38" xfId="1242" applyFont="1" applyFill="1" applyBorder="1" applyAlignment="1">
      <alignment vertical="center" wrapText="1"/>
    </xf>
    <xf numFmtId="0" fontId="67" fillId="16" borderId="38" xfId="1242" applyFont="1" applyFill="1" applyBorder="1" applyAlignment="1">
      <alignment vertical="center" wrapText="1"/>
    </xf>
    <xf numFmtId="4" fontId="71" fillId="16" borderId="81" xfId="0" applyFont="1" applyFill="1" applyBorder="1" applyAlignment="1">
      <alignment horizontal="center" vertical="center"/>
    </xf>
    <xf numFmtId="4" fontId="71" fillId="16" borderId="82" xfId="0" applyFont="1" applyFill="1" applyBorder="1" applyAlignment="1">
      <alignment horizontal="center" vertical="center"/>
    </xf>
    <xf numFmtId="4" fontId="71" fillId="16" borderId="60" xfId="0" applyFont="1" applyFill="1" applyBorder="1" applyAlignment="1">
      <alignment horizontal="center" vertical="center"/>
    </xf>
    <xf numFmtId="4" fontId="71" fillId="16" borderId="54" xfId="0" applyFont="1" applyFill="1" applyBorder="1" applyAlignment="1">
      <alignment horizontal="center" vertical="center"/>
    </xf>
    <xf numFmtId="4" fontId="71" fillId="16" borderId="40" xfId="0" applyFont="1" applyFill="1" applyBorder="1" applyAlignment="1">
      <alignment horizontal="center" vertical="center" wrapText="1"/>
    </xf>
    <xf numFmtId="4" fontId="71" fillId="16" borderId="41" xfId="0" applyFont="1" applyFill="1" applyBorder="1" applyAlignment="1">
      <alignment horizontal="center" vertical="center" wrapText="1"/>
    </xf>
    <xf numFmtId="4" fontId="71" fillId="16" borderId="42" xfId="0" applyFont="1" applyFill="1" applyBorder="1" applyAlignment="1">
      <alignment horizontal="center" vertical="center" wrapText="1"/>
    </xf>
    <xf numFmtId="4" fontId="50" fillId="0" borderId="0" xfId="0" applyFont="1" applyFill="1" applyBorder="1"/>
    <xf numFmtId="4" fontId="70" fillId="16" borderId="81" xfId="0" applyFont="1" applyFill="1" applyBorder="1"/>
    <xf numFmtId="0" fontId="70" fillId="16" borderId="60" xfId="1242" applyFont="1" applyFill="1" applyBorder="1" applyAlignment="1">
      <alignment vertical="center" wrapText="1"/>
    </xf>
    <xf numFmtId="0" fontId="70" fillId="16" borderId="82" xfId="1242" applyFont="1" applyFill="1" applyBorder="1" applyAlignment="1">
      <alignment vertical="center" wrapText="1"/>
    </xf>
    <xf numFmtId="4" fontId="70" fillId="0" borderId="87" xfId="0" applyFont="1" applyBorder="1" applyAlignment="1">
      <alignment wrapText="1"/>
    </xf>
    <xf numFmtId="4" fontId="70" fillId="0" borderId="84" xfId="0" applyFont="1" applyBorder="1"/>
    <xf numFmtId="4" fontId="70" fillId="0" borderId="86" xfId="0" applyFont="1" applyBorder="1"/>
    <xf numFmtId="4" fontId="50" fillId="0" borderId="76" xfId="0" applyFont="1" applyBorder="1" applyAlignment="1">
      <alignment wrapText="1"/>
    </xf>
    <xf numFmtId="4" fontId="50" fillId="0" borderId="77" xfId="0" applyFont="1" applyBorder="1"/>
    <xf numFmtId="4" fontId="70" fillId="0" borderId="38" xfId="0" applyFont="1" applyBorder="1"/>
    <xf numFmtId="4" fontId="70" fillId="0" borderId="77" xfId="0" applyFont="1" applyBorder="1"/>
    <xf numFmtId="4" fontId="50" fillId="0" borderId="81" xfId="0" applyFont="1" applyBorder="1" applyAlignment="1">
      <alignment wrapText="1"/>
    </xf>
    <xf numFmtId="4" fontId="50" fillId="0" borderId="60" xfId="0" applyFont="1" applyBorder="1"/>
    <xf numFmtId="4" fontId="50" fillId="0" borderId="82" xfId="0" applyFont="1" applyBorder="1"/>
    <xf numFmtId="4" fontId="50" fillId="0" borderId="40" xfId="0" applyFont="1" applyBorder="1" applyAlignment="1">
      <alignment wrapText="1"/>
    </xf>
    <xf numFmtId="4" fontId="50" fillId="0" borderId="41" xfId="0" applyFont="1" applyBorder="1"/>
    <xf numFmtId="4" fontId="50" fillId="0" borderId="98" xfId="0" applyFont="1" applyBorder="1"/>
    <xf numFmtId="4" fontId="50" fillId="0" borderId="65" xfId="0" applyFont="1" applyBorder="1"/>
    <xf numFmtId="4" fontId="70" fillId="0" borderId="76" xfId="0" applyFont="1" applyBorder="1" applyAlignment="1">
      <alignment wrapText="1"/>
    </xf>
    <xf numFmtId="4" fontId="69" fillId="0" borderId="39" xfId="0" applyFont="1" applyBorder="1"/>
    <xf numFmtId="4" fontId="71" fillId="0" borderId="40" xfId="0" applyFont="1" applyBorder="1" applyAlignment="1">
      <alignment horizontal="center"/>
    </xf>
    <xf numFmtId="4" fontId="71" fillId="0" borderId="41" xfId="0" applyFont="1" applyBorder="1" applyAlignment="1">
      <alignment horizontal="center"/>
    </xf>
    <xf numFmtId="4" fontId="71" fillId="0" borderId="42" xfId="0" applyFont="1" applyBorder="1" applyAlignment="1">
      <alignment horizontal="center"/>
    </xf>
    <xf numFmtId="4" fontId="69" fillId="0" borderId="97" xfId="0" applyFont="1" applyBorder="1"/>
    <xf numFmtId="4" fontId="69" fillId="0" borderId="89" xfId="0" applyFont="1" applyBorder="1"/>
    <xf numFmtId="4" fontId="69" fillId="0" borderId="78" xfId="0" applyFont="1" applyBorder="1"/>
    <xf numFmtId="4" fontId="69" fillId="0" borderId="80" xfId="0" applyFont="1" applyBorder="1"/>
    <xf numFmtId="4" fontId="69" fillId="0" borderId="83" xfId="0" applyFont="1" applyBorder="1"/>
    <xf numFmtId="4" fontId="22" fillId="0" borderId="15" xfId="0" applyFont="1" applyBorder="1" applyAlignment="1" applyProtection="1">
      <alignment horizontal="center" vertical="center"/>
    </xf>
    <xf numFmtId="168" fontId="23" fillId="0" borderId="15" xfId="0" applyNumberFormat="1" applyFont="1" applyBorder="1" applyAlignment="1" applyProtection="1">
      <alignment vertical="center"/>
    </xf>
    <xf numFmtId="4" fontId="50" fillId="0" borderId="79" xfId="0" applyFont="1" applyBorder="1" applyAlignment="1">
      <alignment horizontal="center" vertical="center" wrapText="1"/>
    </xf>
    <xf numFmtId="4" fontId="50" fillId="0" borderId="79" xfId="0" applyFont="1" applyBorder="1" applyAlignment="1">
      <alignment horizontal="left" vertical="center" wrapText="1"/>
    </xf>
    <xf numFmtId="3" fontId="50" fillId="0" borderId="93" xfId="0" applyNumberFormat="1" applyFont="1" applyBorder="1" applyAlignment="1">
      <alignment horizontal="center" vertical="center" wrapText="1"/>
    </xf>
    <xf numFmtId="4" fontId="50" fillId="0" borderId="95" xfId="0" applyFont="1" applyBorder="1" applyAlignment="1">
      <alignment horizontal="center" vertical="center" wrapText="1"/>
    </xf>
    <xf numFmtId="4" fontId="50" fillId="0" borderId="0" xfId="0" applyFont="1" applyAlignment="1">
      <alignment horizontal="center" vertical="center" wrapText="1"/>
    </xf>
    <xf numFmtId="4" fontId="50" fillId="0" borderId="0" xfId="0" applyFont="1" applyFill="1" applyBorder="1" applyAlignment="1">
      <alignment horizontal="center" vertical="center" wrapText="1"/>
    </xf>
    <xf numFmtId="4" fontId="51" fillId="16" borderId="76" xfId="0" applyFont="1" applyFill="1" applyBorder="1"/>
    <xf numFmtId="4" fontId="73" fillId="0" borderId="78" xfId="0" applyFont="1" applyBorder="1"/>
    <xf numFmtId="4" fontId="73" fillId="0" borderId="80" xfId="0" applyFont="1" applyBorder="1"/>
    <xf numFmtId="4" fontId="73" fillId="0" borderId="83" xfId="0" applyFont="1" applyBorder="1"/>
    <xf numFmtId="4" fontId="9" fillId="14" borderId="0" xfId="0" applyFont="1" applyFill="1" applyBorder="1" applyAlignment="1" applyProtection="1">
      <alignment horizontal="center"/>
      <protection locked="0"/>
    </xf>
    <xf numFmtId="1" fontId="9" fillId="14" borderId="30" xfId="0" applyNumberFormat="1" applyFont="1" applyFill="1" applyBorder="1" applyAlignment="1" applyProtection="1">
      <alignment horizontal="center" vertical="center"/>
      <protection locked="0"/>
    </xf>
    <xf numFmtId="4" fontId="9" fillId="14" borderId="28" xfId="0" applyNumberFormat="1" applyFont="1" applyFill="1" applyBorder="1" applyAlignment="1" applyProtection="1">
      <alignment horizontal="center"/>
      <protection locked="0"/>
    </xf>
    <xf numFmtId="4" fontId="9" fillId="14" borderId="0" xfId="0" applyNumberFormat="1" applyFont="1" applyFill="1" applyBorder="1" applyAlignment="1" applyProtection="1">
      <alignment horizontal="center"/>
      <protection locked="0"/>
    </xf>
    <xf numFmtId="4" fontId="9" fillId="0" borderId="0" xfId="0" applyFont="1" applyBorder="1" applyAlignment="1" applyProtection="1">
      <alignment horizontal="left" vertical="center"/>
    </xf>
    <xf numFmtId="170" fontId="28" fillId="0" borderId="15" xfId="2" applyNumberFormat="1" applyFont="1" applyFill="1" applyBorder="1" applyAlignment="1" applyProtection="1">
      <alignment horizontal="center" vertical="center"/>
    </xf>
    <xf numFmtId="170" fontId="77" fillId="0" borderId="38" xfId="0" applyNumberFormat="1" applyFont="1" applyFill="1" applyBorder="1" applyProtection="1"/>
    <xf numFmtId="170" fontId="78" fillId="0" borderId="38" xfId="0" applyNumberFormat="1" applyFont="1" applyFill="1" applyBorder="1" applyProtection="1"/>
    <xf numFmtId="49" fontId="40" fillId="0" borderId="12" xfId="0" applyNumberFormat="1" applyFont="1" applyBorder="1" applyAlignment="1" applyProtection="1">
      <alignment horizontal="left" vertical="center"/>
    </xf>
    <xf numFmtId="44" fontId="9" fillId="0" borderId="0" xfId="3769" applyFont="1" applyBorder="1" applyProtection="1"/>
    <xf numFmtId="49" fontId="9" fillId="0" borderId="104" xfId="0" applyNumberFormat="1" applyFont="1" applyBorder="1" applyAlignment="1" applyProtection="1">
      <alignment horizontal="left" vertical="center"/>
    </xf>
    <xf numFmtId="170" fontId="9" fillId="0" borderId="11" xfId="0" applyNumberFormat="1" applyFont="1" applyFill="1" applyBorder="1" applyProtection="1"/>
    <xf numFmtId="170" fontId="32" fillId="0" borderId="59" xfId="0" applyNumberFormat="1" applyFont="1" applyFill="1" applyBorder="1" applyProtection="1"/>
    <xf numFmtId="49" fontId="9" fillId="0" borderId="53" xfId="0" applyNumberFormat="1" applyFont="1" applyFill="1" applyBorder="1" applyAlignment="1" applyProtection="1">
      <alignment vertical="center" wrapText="1"/>
    </xf>
    <xf numFmtId="170" fontId="9" fillId="0" borderId="11" xfId="0" applyNumberFormat="1" applyFont="1" applyFill="1" applyBorder="1" applyAlignment="1" applyProtection="1">
      <alignment vertical="center"/>
    </xf>
    <xf numFmtId="170" fontId="31" fillId="0" borderId="20" xfId="0" applyNumberFormat="1" applyFont="1" applyFill="1" applyBorder="1" applyAlignment="1" applyProtection="1">
      <alignment horizontal="left" vertical="center"/>
    </xf>
    <xf numFmtId="170" fontId="31" fillId="0" borderId="21" xfId="0" applyNumberFormat="1" applyFont="1" applyFill="1" applyBorder="1" applyAlignment="1" applyProtection="1">
      <alignment horizontal="center"/>
    </xf>
    <xf numFmtId="170" fontId="9" fillId="0" borderId="21" xfId="0" applyNumberFormat="1" applyFont="1" applyFill="1" applyBorder="1" applyProtection="1"/>
    <xf numFmtId="170" fontId="9" fillId="0" borderId="21" xfId="2" applyNumberFormat="1" applyFont="1" applyFill="1" applyBorder="1" applyProtection="1"/>
    <xf numFmtId="170" fontId="31" fillId="0" borderId="22" xfId="0" applyNumberFormat="1" applyFont="1" applyFill="1" applyBorder="1" applyProtection="1"/>
    <xf numFmtId="170" fontId="31" fillId="0" borderId="23" xfId="0" applyNumberFormat="1" applyFont="1" applyFill="1" applyBorder="1" applyAlignment="1" applyProtection="1">
      <alignment horizontal="center"/>
    </xf>
    <xf numFmtId="170" fontId="32" fillId="0" borderId="43" xfId="0" applyNumberFormat="1" applyFont="1" applyFill="1" applyBorder="1" applyProtection="1"/>
    <xf numFmtId="4" fontId="9" fillId="0" borderId="12" xfId="0" applyFont="1" applyFill="1" applyBorder="1" applyProtection="1"/>
    <xf numFmtId="0" fontId="0" fillId="0" borderId="53" xfId="0" applyNumberFormat="1" applyFill="1" applyBorder="1" applyAlignment="1">
      <alignment vertical="center" wrapText="1"/>
    </xf>
    <xf numFmtId="0" fontId="9" fillId="0" borderId="38" xfId="0" applyNumberFormat="1" applyFont="1" applyFill="1" applyBorder="1" applyAlignment="1" applyProtection="1">
      <alignment horizontal="left" vertical="center"/>
    </xf>
    <xf numFmtId="170" fontId="9" fillId="0" borderId="38" xfId="1" applyNumberFormat="1" applyFont="1" applyFill="1" applyBorder="1" applyAlignment="1" applyProtection="1">
      <alignment vertical="center"/>
    </xf>
    <xf numFmtId="170" fontId="9" fillId="3" borderId="44" xfId="2" applyNumberFormat="1" applyFont="1" applyFill="1" applyBorder="1" applyProtection="1"/>
    <xf numFmtId="0" fontId="9" fillId="0" borderId="38" xfId="0" applyNumberFormat="1" applyFont="1" applyFill="1" applyBorder="1" applyProtection="1"/>
    <xf numFmtId="49" fontId="9" fillId="0" borderId="59" xfId="0" applyNumberFormat="1" applyFont="1" applyFill="1" applyBorder="1" applyAlignment="1" applyProtection="1">
      <alignment wrapText="1"/>
    </xf>
    <xf numFmtId="170" fontId="9" fillId="0" borderId="38" xfId="0" applyNumberFormat="1" applyFont="1" applyFill="1" applyBorder="1" applyProtection="1"/>
    <xf numFmtId="4" fontId="79" fillId="0" borderId="0" xfId="0" applyFont="1" applyBorder="1" applyProtection="1"/>
    <xf numFmtId="4" fontId="14" fillId="0" borderId="15" xfId="0" applyFont="1" applyBorder="1" applyAlignment="1" applyProtection="1">
      <alignment horizontal="center" vertical="center"/>
    </xf>
    <xf numFmtId="170" fontId="9" fillId="3" borderId="23" xfId="2" applyNumberFormat="1" applyFont="1" applyFill="1" applyBorder="1" applyProtection="1"/>
    <xf numFmtId="0" fontId="9" fillId="0" borderId="59" xfId="0" applyNumberFormat="1" applyFont="1" applyFill="1" applyBorder="1" applyProtection="1"/>
    <xf numFmtId="49" fontId="9" fillId="0" borderId="53" xfId="0" applyNumberFormat="1" applyFont="1" applyFill="1" applyBorder="1" applyAlignment="1" applyProtection="1">
      <alignment wrapText="1"/>
    </xf>
    <xf numFmtId="168" fontId="9" fillId="0" borderId="0" xfId="0" applyNumberFormat="1" applyFont="1" applyBorder="1" applyAlignment="1" applyProtection="1">
      <alignment horizontal="right" vertical="center"/>
    </xf>
    <xf numFmtId="178" fontId="9" fillId="14" borderId="30" xfId="0" applyNumberFormat="1" applyFont="1" applyFill="1" applyBorder="1" applyAlignment="1" applyProtection="1">
      <alignment horizontal="center" vertical="center"/>
      <protection locked="0"/>
    </xf>
    <xf numFmtId="170" fontId="9" fillId="11" borderId="11" xfId="0" applyNumberFormat="1" applyFont="1" applyFill="1" applyBorder="1" applyProtection="1"/>
    <xf numFmtId="4" fontId="13" fillId="0" borderId="30" xfId="0" applyFont="1" applyFill="1" applyBorder="1" applyProtection="1"/>
    <xf numFmtId="4" fontId="9" fillId="0" borderId="62" xfId="0" applyFont="1" applyBorder="1" applyProtection="1">
      <protection locked="0"/>
    </xf>
    <xf numFmtId="4" fontId="9" fillId="0" borderId="62" xfId="0" applyFont="1" applyBorder="1" applyProtection="1"/>
    <xf numFmtId="4" fontId="17" fillId="0" borderId="108" xfId="0" applyFont="1" applyBorder="1" applyAlignment="1" applyProtection="1">
      <alignment horizontal="center"/>
    </xf>
    <xf numFmtId="4" fontId="9" fillId="0" borderId="30" xfId="0" applyFont="1" applyFill="1" applyBorder="1" applyProtection="1"/>
    <xf numFmtId="4" fontId="9" fillId="0" borderId="107" xfId="0" applyFont="1" applyBorder="1" applyAlignment="1" applyProtection="1">
      <alignment horizontal="left" vertical="center"/>
    </xf>
    <xf numFmtId="168" fontId="9" fillId="0" borderId="110" xfId="0" applyNumberFormat="1" applyFont="1" applyBorder="1" applyProtection="1"/>
    <xf numFmtId="4" fontId="13" fillId="0" borderId="111" xfId="0" applyFont="1" applyBorder="1" applyAlignment="1" applyProtection="1">
      <alignment horizontal="center" vertical="center" wrapText="1"/>
    </xf>
    <xf numFmtId="49" fontId="18" fillId="0" borderId="64" xfId="0" applyNumberFormat="1" applyFont="1" applyFill="1" applyBorder="1" applyAlignment="1" applyProtection="1">
      <alignment horizontal="center" vertical="center"/>
    </xf>
    <xf numFmtId="4" fontId="9" fillId="0" borderId="77" xfId="0" applyFont="1" applyBorder="1" applyProtection="1"/>
    <xf numFmtId="167" fontId="9" fillId="0" borderId="77" xfId="0" applyNumberFormat="1" applyFont="1" applyBorder="1" applyAlignment="1" applyProtection="1">
      <alignment horizontal="right"/>
    </xf>
    <xf numFmtId="4" fontId="9" fillId="0" borderId="64" xfId="0" applyFont="1" applyBorder="1" applyProtection="1"/>
    <xf numFmtId="167" fontId="9" fillId="0" borderId="77" xfId="0" applyNumberFormat="1" applyFont="1" applyFill="1" applyBorder="1" applyAlignment="1" applyProtection="1">
      <alignment horizontal="right"/>
    </xf>
    <xf numFmtId="167" fontId="9" fillId="0" borderId="77" xfId="0" applyNumberFormat="1" applyFont="1" applyFill="1" applyBorder="1" applyAlignment="1" applyProtection="1">
      <alignment horizontal="right" vertical="center"/>
    </xf>
    <xf numFmtId="49" fontId="9" fillId="0" borderId="64" xfId="0" applyNumberFormat="1" applyFont="1" applyBorder="1" applyAlignment="1" applyProtection="1">
      <alignment horizontal="center" vertical="center"/>
    </xf>
    <xf numFmtId="167" fontId="9" fillId="0" borderId="77" xfId="0" applyNumberFormat="1" applyFont="1" applyBorder="1" applyAlignment="1" applyProtection="1">
      <alignment horizontal="right" vertical="center"/>
    </xf>
    <xf numFmtId="167" fontId="9" fillId="0" borderId="77" xfId="0" applyNumberFormat="1" applyFont="1" applyBorder="1" applyAlignment="1" applyProtection="1"/>
    <xf numFmtId="167" fontId="9" fillId="0" borderId="82" xfId="0" applyNumberFormat="1" applyFont="1" applyBorder="1" applyAlignment="1" applyProtection="1"/>
    <xf numFmtId="49" fontId="21" fillId="0" borderId="28" xfId="0" applyNumberFormat="1" applyFont="1" applyFill="1" applyBorder="1" applyAlignment="1" applyProtection="1">
      <alignment vertical="center"/>
    </xf>
    <xf numFmtId="4" fontId="21" fillId="0" borderId="30" xfId="0" applyFont="1" applyBorder="1" applyAlignment="1" applyProtection="1">
      <alignment horizontal="center"/>
    </xf>
    <xf numFmtId="4" fontId="13" fillId="0" borderId="112" xfId="0" applyFont="1" applyBorder="1" applyAlignment="1" applyProtection="1">
      <alignment horizontal="center" vertical="center" wrapText="1"/>
    </xf>
    <xf numFmtId="4" fontId="9" fillId="0" borderId="112" xfId="0" applyFont="1" applyBorder="1" applyProtection="1"/>
    <xf numFmtId="167" fontId="9" fillId="0" borderId="30" xfId="0" applyNumberFormat="1" applyFont="1" applyBorder="1" applyAlignment="1" applyProtection="1">
      <alignment horizontal="right"/>
    </xf>
    <xf numFmtId="4" fontId="39" fillId="0" borderId="64" xfId="0" applyFont="1" applyBorder="1" applyProtection="1"/>
    <xf numFmtId="167" fontId="39" fillId="0" borderId="112" xfId="0" applyNumberFormat="1" applyFont="1" applyBorder="1" applyAlignment="1" applyProtection="1">
      <alignment horizontal="right"/>
    </xf>
    <xf numFmtId="167" fontId="9" fillId="0" borderId="112" xfId="0" applyNumberFormat="1" applyFont="1" applyBorder="1" applyAlignment="1" applyProtection="1">
      <alignment horizontal="right"/>
    </xf>
    <xf numFmtId="4" fontId="39" fillId="0" borderId="64" xfId="0" applyFont="1" applyFill="1" applyBorder="1" applyAlignment="1" applyProtection="1">
      <alignment horizontal="center" vertical="center"/>
    </xf>
    <xf numFmtId="4" fontId="39" fillId="0" borderId="64" xfId="0" applyFont="1" applyBorder="1" applyAlignment="1" applyProtection="1">
      <alignment horizontal="center" vertical="center"/>
    </xf>
    <xf numFmtId="4" fontId="39" fillId="0" borderId="112" xfId="0" applyNumberFormat="1" applyFont="1" applyFill="1" applyBorder="1" applyProtection="1"/>
    <xf numFmtId="4" fontId="9" fillId="0" borderId="112" xfId="0" applyFont="1" applyFill="1" applyBorder="1" applyProtection="1"/>
    <xf numFmtId="49" fontId="9" fillId="0" borderId="64" xfId="0" applyNumberFormat="1" applyFont="1" applyFill="1" applyBorder="1" applyAlignment="1" applyProtection="1">
      <alignment horizontal="left" vertical="center"/>
    </xf>
    <xf numFmtId="4" fontId="9" fillId="0" borderId="107" xfId="0" applyFont="1" applyBorder="1" applyAlignment="1" applyProtection="1">
      <alignment vertical="center"/>
    </xf>
    <xf numFmtId="4" fontId="9" fillId="0" borderId="110" xfId="0" applyFont="1" applyBorder="1" applyAlignment="1" applyProtection="1">
      <alignment vertical="center"/>
    </xf>
    <xf numFmtId="49" fontId="21" fillId="0" borderId="28" xfId="0" applyNumberFormat="1" applyFont="1" applyFill="1" applyBorder="1" applyAlignment="1" applyProtection="1">
      <alignment horizontal="right" vertical="center"/>
    </xf>
    <xf numFmtId="49" fontId="18" fillId="0" borderId="114" xfId="0" applyNumberFormat="1" applyFont="1" applyFill="1" applyBorder="1" applyAlignment="1" applyProtection="1">
      <alignment horizontal="center" vertical="center"/>
    </xf>
    <xf numFmtId="4" fontId="9" fillId="0" borderId="111" xfId="0" applyFont="1" applyBorder="1" applyProtection="1"/>
    <xf numFmtId="49" fontId="18" fillId="0" borderId="76" xfId="0" applyNumberFormat="1" applyFont="1" applyFill="1" applyBorder="1" applyAlignment="1" applyProtection="1">
      <alignment horizontal="center" vertical="center"/>
    </xf>
    <xf numFmtId="167" fontId="9" fillId="10" borderId="112" xfId="0" applyNumberFormat="1" applyFont="1" applyFill="1" applyBorder="1" applyAlignment="1" applyProtection="1">
      <alignment horizontal="right"/>
    </xf>
    <xf numFmtId="49" fontId="21" fillId="0" borderId="30" xfId="0" applyNumberFormat="1" applyFont="1" applyFill="1" applyBorder="1" applyAlignment="1" applyProtection="1">
      <alignment vertical="center"/>
    </xf>
    <xf numFmtId="4" fontId="9" fillId="0" borderId="28" xfId="0" applyFont="1" applyBorder="1" applyAlignment="1" applyProtection="1">
      <alignment horizontal="center" vertical="center"/>
    </xf>
    <xf numFmtId="4" fontId="13" fillId="0" borderId="35" xfId="0" applyFont="1" applyBorder="1" applyProtection="1"/>
    <xf numFmtId="4" fontId="9" fillId="0" borderId="36" xfId="0" applyFont="1" applyBorder="1" applyAlignment="1" applyProtection="1">
      <alignment horizontal="left" vertical="center"/>
    </xf>
    <xf numFmtId="170" fontId="9" fillId="0" borderId="36" xfId="0" applyNumberFormat="1" applyFont="1" applyBorder="1" applyProtection="1"/>
    <xf numFmtId="4" fontId="9" fillId="0" borderId="37" xfId="0" applyFont="1" applyFill="1" applyBorder="1" applyProtection="1"/>
    <xf numFmtId="4" fontId="69" fillId="0" borderId="38" xfId="0" applyFont="1" applyFill="1" applyBorder="1"/>
    <xf numFmtId="4" fontId="71" fillId="0" borderId="38" xfId="0" applyFont="1" applyFill="1" applyBorder="1" applyAlignment="1">
      <alignment horizontal="center"/>
    </xf>
    <xf numFmtId="4" fontId="71" fillId="0" borderId="38" xfId="0" applyFont="1" applyFill="1" applyBorder="1"/>
    <xf numFmtId="14" fontId="69" fillId="0" borderId="38" xfId="0" applyNumberFormat="1" applyFont="1" applyFill="1" applyBorder="1"/>
    <xf numFmtId="170" fontId="30" fillId="0" borderId="15" xfId="2" applyNumberFormat="1" applyFont="1" applyFill="1" applyBorder="1" applyAlignment="1" applyProtection="1">
      <alignment horizontal="center" vertical="center"/>
    </xf>
    <xf numFmtId="170" fontId="32" fillId="3" borderId="22" xfId="0" applyNumberFormat="1" applyFont="1" applyFill="1" applyBorder="1" applyProtection="1"/>
    <xf numFmtId="170" fontId="32" fillId="17" borderId="22" xfId="0" applyNumberFormat="1" applyFont="1" applyFill="1" applyBorder="1" applyProtection="1"/>
    <xf numFmtId="170" fontId="32" fillId="17" borderId="59" xfId="0" applyNumberFormat="1" applyFont="1" applyFill="1" applyBorder="1" applyProtection="1"/>
    <xf numFmtId="170" fontId="32" fillId="3" borderId="43" xfId="0" applyNumberFormat="1" applyFont="1" applyFill="1" applyBorder="1" applyProtection="1"/>
    <xf numFmtId="4" fontId="9" fillId="0" borderId="0" xfId="0" applyFont="1" applyFill="1" applyBorder="1" applyAlignment="1">
      <alignment horizontal="center" vertical="center"/>
    </xf>
    <xf numFmtId="4" fontId="84" fillId="0" borderId="0" xfId="0" applyFont="1"/>
    <xf numFmtId="4" fontId="84" fillId="0" borderId="38" xfId="0" applyFont="1" applyFill="1" applyBorder="1"/>
    <xf numFmtId="4" fontId="85" fillId="0" borderId="38" xfId="0" applyFont="1" applyFill="1" applyBorder="1" applyAlignment="1">
      <alignment horizontal="center"/>
    </xf>
    <xf numFmtId="4" fontId="86" fillId="0" borderId="40" xfId="0" applyFont="1" applyBorder="1"/>
    <xf numFmtId="4" fontId="86" fillId="0" borderId="41" xfId="0" applyFont="1" applyBorder="1"/>
    <xf numFmtId="4" fontId="86" fillId="0" borderId="42" xfId="0" applyFont="1" applyBorder="1"/>
    <xf numFmtId="4" fontId="85" fillId="0" borderId="38" xfId="0" applyFont="1" applyFill="1" applyBorder="1"/>
    <xf numFmtId="14" fontId="84" fillId="0" borderId="38" xfId="0" applyNumberFormat="1" applyFont="1" applyFill="1" applyBorder="1"/>
    <xf numFmtId="4" fontId="84" fillId="0" borderId="87" xfId="0" applyFont="1" applyBorder="1"/>
    <xf numFmtId="197" fontId="84" fillId="0" borderId="85" xfId="0" applyNumberFormat="1" applyFont="1" applyBorder="1"/>
    <xf numFmtId="189" fontId="87" fillId="0" borderId="85" xfId="0" applyNumberFormat="1" applyFont="1" applyBorder="1"/>
    <xf numFmtId="190" fontId="87" fillId="0" borderId="102" xfId="0" applyNumberFormat="1" applyFont="1" applyBorder="1"/>
    <xf numFmtId="4" fontId="84" fillId="0" borderId="102" xfId="0" applyFont="1" applyBorder="1"/>
    <xf numFmtId="4" fontId="84" fillId="0" borderId="88" xfId="0" applyFont="1" applyBorder="1"/>
    <xf numFmtId="4" fontId="84" fillId="0" borderId="123" xfId="0" applyFont="1" applyBorder="1"/>
    <xf numFmtId="4" fontId="84" fillId="0" borderId="76" xfId="0" applyFont="1" applyBorder="1"/>
    <xf numFmtId="197" fontId="84" fillId="0" borderId="59" xfId="0" applyNumberFormat="1" applyFont="1" applyBorder="1"/>
    <xf numFmtId="4" fontId="84" fillId="0" borderId="53" xfId="0" applyFont="1" applyBorder="1"/>
    <xf numFmtId="4" fontId="84" fillId="0" borderId="74" xfId="0" applyFont="1" applyBorder="1"/>
    <xf numFmtId="4" fontId="84" fillId="0" borderId="124" xfId="0" applyFont="1" applyBorder="1"/>
    <xf numFmtId="179" fontId="87" fillId="0" borderId="59" xfId="0" applyNumberFormat="1" applyFont="1" applyBorder="1"/>
    <xf numFmtId="180" fontId="87" fillId="0" borderId="53" xfId="0" applyNumberFormat="1" applyFont="1" applyBorder="1"/>
    <xf numFmtId="181" fontId="87" fillId="0" borderId="53" xfId="0" applyNumberFormat="1" applyFont="1" applyBorder="1"/>
    <xf numFmtId="43" fontId="87" fillId="0" borderId="53" xfId="0" applyNumberFormat="1" applyFont="1" applyBorder="1"/>
    <xf numFmtId="43" fontId="87" fillId="0" borderId="74" xfId="0" applyNumberFormat="1" applyFont="1" applyBorder="1"/>
    <xf numFmtId="4" fontId="84" fillId="0" borderId="54" xfId="0" applyFont="1" applyBorder="1"/>
    <xf numFmtId="4" fontId="84" fillId="0" borderId="117" xfId="0" applyFont="1" applyBorder="1"/>
    <xf numFmtId="4" fontId="84" fillId="0" borderId="118" xfId="0" applyFont="1" applyBorder="1"/>
    <xf numFmtId="191" fontId="87" fillId="0" borderId="59" xfId="0" applyNumberFormat="1" applyFont="1" applyBorder="1"/>
    <xf numFmtId="192" fontId="87" fillId="0" borderId="53" xfId="0" applyNumberFormat="1" applyFont="1" applyBorder="1"/>
    <xf numFmtId="193" fontId="87" fillId="0" borderId="53" xfId="0" applyNumberFormat="1" applyFont="1" applyBorder="1"/>
    <xf numFmtId="194" fontId="87" fillId="0" borderId="53" xfId="0" applyNumberFormat="1" applyFont="1" applyBorder="1"/>
    <xf numFmtId="195" fontId="87" fillId="0" borderId="53" xfId="0" applyNumberFormat="1" applyFont="1" applyBorder="1"/>
    <xf numFmtId="196" fontId="87" fillId="0" borderId="74" xfId="0" applyNumberFormat="1" applyFont="1" applyBorder="1"/>
    <xf numFmtId="182" fontId="87" fillId="0" borderId="56" xfId="0" applyNumberFormat="1" applyFont="1" applyBorder="1"/>
    <xf numFmtId="183" fontId="87" fillId="0" borderId="57" xfId="0" applyNumberFormat="1" applyFont="1" applyBorder="1"/>
    <xf numFmtId="184" fontId="87" fillId="0" borderId="57" xfId="0" applyNumberFormat="1" applyFont="1" applyBorder="1"/>
    <xf numFmtId="185" fontId="87" fillId="0" borderId="57" xfId="0" applyNumberFormat="1" applyFont="1" applyBorder="1"/>
    <xf numFmtId="186" fontId="87" fillId="0" borderId="57" xfId="0" applyNumberFormat="1" applyFont="1" applyBorder="1"/>
    <xf numFmtId="4" fontId="84" fillId="0" borderId="119" xfId="0" applyFont="1" applyBorder="1"/>
    <xf numFmtId="4" fontId="84" fillId="0" borderId="59" xfId="0" applyFont="1" applyBorder="1"/>
    <xf numFmtId="4" fontId="84" fillId="0" borderId="78" xfId="0" applyFont="1" applyBorder="1"/>
    <xf numFmtId="197" fontId="84" fillId="0" borderId="120" xfId="0" applyNumberFormat="1" applyFont="1" applyBorder="1"/>
    <xf numFmtId="4" fontId="84" fillId="0" borderId="120" xfId="0" applyFont="1" applyBorder="1"/>
    <xf numFmtId="4" fontId="84" fillId="0" borderId="121" xfId="0" applyFont="1" applyBorder="1"/>
    <xf numFmtId="4" fontId="84" fillId="0" borderId="122" xfId="0" applyFont="1" applyBorder="1"/>
    <xf numFmtId="4" fontId="84" fillId="0" borderId="125" xfId="0" applyFont="1" applyBorder="1"/>
    <xf numFmtId="49" fontId="89" fillId="0" borderId="0" xfId="1298" quotePrefix="1" applyNumberFormat="1" applyFont="1" applyAlignment="1">
      <alignment horizontal="center" vertical="center" wrapText="1"/>
    </xf>
    <xf numFmtId="4" fontId="84" fillId="0" borderId="0" xfId="0" applyFont="1" applyAlignment="1">
      <alignment wrapText="1"/>
    </xf>
    <xf numFmtId="4" fontId="84" fillId="0" borderId="0" xfId="0" applyFont="1" applyFill="1" applyBorder="1" applyAlignment="1">
      <alignment wrapText="1"/>
    </xf>
    <xf numFmtId="49" fontId="84" fillId="0" borderId="0" xfId="1298" applyNumberFormat="1" applyFont="1"/>
    <xf numFmtId="10" fontId="84" fillId="0" borderId="0" xfId="3" applyNumberFormat="1" applyFont="1"/>
    <xf numFmtId="4" fontId="84" fillId="0" borderId="0" xfId="0" applyFont="1" applyFill="1" applyBorder="1"/>
    <xf numFmtId="49" fontId="84" fillId="0" borderId="0" xfId="1298" applyNumberFormat="1" applyFont="1" applyFill="1"/>
    <xf numFmtId="4" fontId="84" fillId="0" borderId="0" xfId="0" applyFont="1" applyFill="1"/>
    <xf numFmtId="4" fontId="30" fillId="0" borderId="0" xfId="0" applyFont="1" applyProtection="1"/>
    <xf numFmtId="167" fontId="14" fillId="3" borderId="113" xfId="0" applyNumberFormat="1" applyFont="1" applyFill="1" applyBorder="1" applyAlignment="1" applyProtection="1">
      <alignment vertical="center"/>
    </xf>
    <xf numFmtId="167" fontId="13" fillId="3" borderId="89" xfId="0" applyNumberFormat="1" applyFont="1" applyFill="1" applyBorder="1" applyProtection="1"/>
    <xf numFmtId="4" fontId="69" fillId="18" borderId="76" xfId="0" applyFont="1" applyFill="1" applyBorder="1"/>
    <xf numFmtId="4" fontId="9" fillId="0" borderId="0" xfId="0" applyFont="1" applyBorder="1" applyProtection="1">
      <protection locked="0"/>
    </xf>
    <xf numFmtId="49" fontId="39" fillId="0" borderId="12" xfId="0" applyNumberFormat="1" applyFont="1" applyBorder="1" applyProtection="1"/>
    <xf numFmtId="170" fontId="55" fillId="0" borderId="60" xfId="0" applyNumberFormat="1" applyFont="1" applyFill="1" applyBorder="1" applyAlignment="1" applyProtection="1">
      <alignment horizontal="left" vertical="center"/>
    </xf>
    <xf numFmtId="4" fontId="19" fillId="0" borderId="6" xfId="0" applyFont="1" applyBorder="1" applyProtection="1"/>
    <xf numFmtId="4" fontId="9" fillId="18" borderId="10" xfId="0" applyFont="1" applyFill="1" applyBorder="1" applyProtection="1"/>
    <xf numFmtId="49" fontId="9" fillId="18" borderId="12" xfId="0" applyNumberFormat="1" applyFont="1" applyFill="1" applyBorder="1" applyProtection="1"/>
    <xf numFmtId="4" fontId="90" fillId="18" borderId="117" xfId="0" applyFont="1" applyFill="1" applyBorder="1" applyAlignment="1">
      <alignment horizontal="left"/>
    </xf>
    <xf numFmtId="4" fontId="90" fillId="18" borderId="0" xfId="0" applyFont="1" applyFill="1" applyBorder="1" applyAlignment="1">
      <alignment horizontal="left"/>
    </xf>
    <xf numFmtId="4" fontId="39" fillId="0" borderId="0" xfId="0" applyFont="1" applyBorder="1" applyProtection="1">
      <protection locked="0"/>
    </xf>
    <xf numFmtId="4" fontId="69" fillId="0" borderId="38" xfId="0" applyFont="1" applyBorder="1" applyAlignment="1">
      <alignment horizontal="center" vertical="center" wrapText="1"/>
    </xf>
    <xf numFmtId="4" fontId="50" fillId="0" borderId="38" xfId="0" applyFont="1" applyBorder="1" applyAlignment="1">
      <alignment horizontal="center" vertical="center"/>
    </xf>
    <xf numFmtId="4" fontId="91" fillId="0" borderId="38" xfId="0" applyFont="1" applyBorder="1" applyAlignment="1">
      <alignment horizontal="center" vertical="center"/>
    </xf>
    <xf numFmtId="0" fontId="91" fillId="0" borderId="38" xfId="0" applyNumberFormat="1" applyFont="1" applyBorder="1" applyAlignment="1">
      <alignment horizontal="center" vertical="center"/>
    </xf>
    <xf numFmtId="4" fontId="91" fillId="0" borderId="38" xfId="0" applyFont="1" applyFill="1" applyBorder="1" applyAlignment="1">
      <alignment horizontal="center" vertical="center"/>
    </xf>
    <xf numFmtId="4" fontId="9" fillId="0" borderId="0" xfId="0" applyFont="1" applyBorder="1" applyAlignment="1" applyProtection="1">
      <alignment horizontal="center"/>
    </xf>
    <xf numFmtId="4" fontId="9" fillId="0" borderId="12" xfId="0" applyFont="1" applyBorder="1" applyAlignment="1" applyProtection="1">
      <alignment horizontal="left" vertical="center" wrapText="1"/>
    </xf>
    <xf numFmtId="49" fontId="9" fillId="18" borderId="12" xfId="0" applyNumberFormat="1" applyFont="1" applyFill="1" applyBorder="1" applyAlignment="1" applyProtection="1">
      <alignment horizontal="center" vertical="center"/>
    </xf>
    <xf numFmtId="170" fontId="32" fillId="0" borderId="59" xfId="0" applyNumberFormat="1" applyFont="1" applyFill="1" applyBorder="1" applyAlignment="1" applyProtection="1">
      <alignment horizontal="left" wrapText="1"/>
    </xf>
    <xf numFmtId="0" fontId="9" fillId="0" borderId="38" xfId="0" applyNumberFormat="1" applyFont="1" applyFill="1" applyBorder="1" applyAlignment="1" applyProtection="1">
      <alignment horizontal="left" vertical="center" wrapText="1"/>
    </xf>
    <xf numFmtId="49" fontId="9" fillId="0" borderId="38" xfId="0" applyNumberFormat="1" applyFont="1" applyFill="1" applyBorder="1" applyAlignment="1" applyProtection="1">
      <alignment horizontal="left" vertical="center" wrapText="1"/>
    </xf>
    <xf numFmtId="0" fontId="9" fillId="0" borderId="38" xfId="0" applyNumberFormat="1" applyFont="1" applyFill="1" applyBorder="1" applyAlignment="1" applyProtection="1">
      <alignment wrapText="1"/>
    </xf>
    <xf numFmtId="0" fontId="9" fillId="0" borderId="59" xfId="0" applyNumberFormat="1" applyFont="1" applyFill="1" applyBorder="1" applyAlignment="1" applyProtection="1">
      <alignment wrapText="1"/>
    </xf>
    <xf numFmtId="170" fontId="32" fillId="0" borderId="38" xfId="0" applyNumberFormat="1" applyFont="1" applyFill="1" applyBorder="1" applyAlignment="1" applyProtection="1">
      <alignment wrapText="1"/>
    </xf>
    <xf numFmtId="170" fontId="32" fillId="0" borderId="59" xfId="0" applyNumberFormat="1" applyFont="1" applyFill="1" applyBorder="1" applyAlignment="1" applyProtection="1">
      <alignment wrapText="1"/>
    </xf>
    <xf numFmtId="170" fontId="78" fillId="0" borderId="38" xfId="0" applyNumberFormat="1" applyFont="1" applyFill="1" applyBorder="1" applyAlignment="1" applyProtection="1">
      <alignment wrapText="1"/>
    </xf>
    <xf numFmtId="170" fontId="77" fillId="0" borderId="38" xfId="0" applyNumberFormat="1" applyFont="1" applyFill="1" applyBorder="1" applyAlignment="1" applyProtection="1">
      <alignment wrapText="1"/>
    </xf>
    <xf numFmtId="4" fontId="9" fillId="0" borderId="12" xfId="0" applyFont="1" applyBorder="1" applyAlignment="1" applyProtection="1">
      <alignment wrapText="1"/>
    </xf>
    <xf numFmtId="4" fontId="90" fillId="18" borderId="38" xfId="0" applyFont="1" applyFill="1" applyBorder="1" applyAlignment="1">
      <alignment horizontal="left" wrapText="1"/>
    </xf>
    <xf numFmtId="4" fontId="90" fillId="18" borderId="59" xfId="0" applyFont="1" applyFill="1" applyBorder="1" applyAlignment="1">
      <alignment horizontal="left" wrapText="1"/>
    </xf>
    <xf numFmtId="4" fontId="90" fillId="18" borderId="127" xfId="0" applyFont="1" applyFill="1" applyBorder="1" applyAlignment="1">
      <alignment horizontal="left" wrapText="1"/>
    </xf>
    <xf numFmtId="49" fontId="9" fillId="0" borderId="12" xfId="0" applyNumberFormat="1" applyFont="1" applyBorder="1" applyAlignment="1" applyProtection="1">
      <alignment wrapText="1"/>
    </xf>
    <xf numFmtId="4" fontId="9" fillId="0" borderId="11" xfId="0" applyFont="1" applyBorder="1" applyAlignment="1" applyProtection="1">
      <alignment wrapText="1"/>
    </xf>
    <xf numFmtId="4" fontId="9" fillId="0" borderId="12" xfId="0" applyFont="1" applyBorder="1" applyAlignment="1" applyProtection="1">
      <alignment horizontal="left" wrapText="1"/>
    </xf>
    <xf numFmtId="49" fontId="9" fillId="0" borderId="12" xfId="0" applyNumberFormat="1" applyFont="1" applyBorder="1" applyAlignment="1" applyProtection="1">
      <alignment horizontal="left" vertical="center" wrapText="1"/>
    </xf>
    <xf numFmtId="49" fontId="40" fillId="0" borderId="12" xfId="0" applyNumberFormat="1" applyFont="1" applyBorder="1" applyAlignment="1" applyProtection="1">
      <alignment horizontal="left" vertical="center" wrapText="1"/>
    </xf>
    <xf numFmtId="49" fontId="9" fillId="0" borderId="104" xfId="0" applyNumberFormat="1" applyFont="1" applyBorder="1" applyAlignment="1" applyProtection="1">
      <alignment horizontal="left" vertical="center" wrapText="1"/>
    </xf>
    <xf numFmtId="49" fontId="9" fillId="0" borderId="12" xfId="0" applyNumberFormat="1" applyFont="1" applyFill="1" applyBorder="1" applyAlignment="1" applyProtection="1">
      <alignment horizontal="center" vertical="center"/>
    </xf>
    <xf numFmtId="170" fontId="9" fillId="0" borderId="0" xfId="0" applyNumberFormat="1" applyFont="1" applyBorder="1" applyAlignment="1" applyProtection="1">
      <alignment wrapText="1"/>
    </xf>
    <xf numFmtId="4" fontId="9" fillId="0" borderId="117" xfId="0" applyFont="1" applyBorder="1" applyAlignment="1" applyProtection="1">
      <alignment horizontal="center" vertical="center" wrapText="1"/>
    </xf>
    <xf numFmtId="198" fontId="9" fillId="11" borderId="38" xfId="0" applyNumberFormat="1" applyFont="1" applyFill="1" applyBorder="1" applyProtection="1"/>
    <xf numFmtId="198" fontId="9" fillId="11" borderId="38" xfId="0" applyNumberFormat="1" applyFont="1" applyFill="1" applyBorder="1" applyProtection="1">
      <protection locked="0"/>
    </xf>
    <xf numFmtId="198" fontId="9" fillId="0" borderId="38" xfId="0" applyNumberFormat="1" applyFont="1" applyFill="1" applyBorder="1" applyAlignment="1" applyProtection="1">
      <alignment vertical="center"/>
    </xf>
    <xf numFmtId="198" fontId="9" fillId="11" borderId="38" xfId="0" applyNumberFormat="1" applyFont="1" applyFill="1" applyBorder="1" applyAlignment="1" applyProtection="1">
      <alignment vertical="center"/>
      <protection locked="0"/>
    </xf>
    <xf numFmtId="198" fontId="9" fillId="0" borderId="38" xfId="0" applyNumberFormat="1" applyFont="1" applyBorder="1" applyProtection="1"/>
    <xf numFmtId="198" fontId="9" fillId="11" borderId="11" xfId="0" applyNumberFormat="1" applyFont="1" applyFill="1" applyBorder="1" applyProtection="1">
      <protection locked="0"/>
    </xf>
    <xf numFmtId="198" fontId="9" fillId="0" borderId="11" xfId="0" applyNumberFormat="1" applyFont="1" applyFill="1" applyBorder="1" applyAlignment="1" applyProtection="1">
      <alignment vertical="center"/>
    </xf>
    <xf numFmtId="198" fontId="9" fillId="0" borderId="11" xfId="0" applyNumberFormat="1" applyFont="1" applyBorder="1" applyProtection="1"/>
    <xf numFmtId="198" fontId="9" fillId="2" borderId="11" xfId="0" applyNumberFormat="1" applyFont="1" applyFill="1" applyBorder="1" applyProtection="1"/>
    <xf numFmtId="198" fontId="9" fillId="0" borderId="38" xfId="0" applyNumberFormat="1" applyFont="1" applyFill="1" applyBorder="1" applyProtection="1"/>
    <xf numFmtId="4" fontId="9" fillId="0" borderId="10" xfId="0" applyFont="1" applyBorder="1" applyAlignment="1" applyProtection="1">
      <alignment horizontal="center" vertical="center"/>
    </xf>
    <xf numFmtId="49" fontId="9" fillId="0" borderId="71" xfId="0" applyNumberFormat="1" applyFont="1" applyBorder="1" applyAlignment="1" applyProtection="1">
      <alignment wrapText="1"/>
    </xf>
    <xf numFmtId="49" fontId="9" fillId="0" borderId="8" xfId="0" applyNumberFormat="1" applyFont="1" applyBorder="1" applyAlignment="1" applyProtection="1">
      <alignment wrapText="1"/>
    </xf>
    <xf numFmtId="49" fontId="9" fillId="0" borderId="38" xfId="0" applyNumberFormat="1" applyFont="1" applyBorder="1" applyAlignment="1" applyProtection="1">
      <alignment wrapText="1"/>
    </xf>
    <xf numFmtId="4" fontId="9" fillId="18" borderId="38" xfId="0" applyFont="1" applyFill="1" applyBorder="1" applyAlignment="1" applyProtection="1">
      <alignment wrapText="1"/>
    </xf>
    <xf numFmtId="49" fontId="9" fillId="18" borderId="38" xfId="0" applyNumberFormat="1" applyFont="1" applyFill="1" applyBorder="1" applyAlignment="1" applyProtection="1">
      <alignment wrapText="1"/>
    </xf>
    <xf numFmtId="49" fontId="9" fillId="18" borderId="38" xfId="0" applyNumberFormat="1" applyFont="1" applyFill="1" applyBorder="1" applyAlignment="1" applyProtection="1">
      <alignment horizontal="left" wrapText="1"/>
    </xf>
    <xf numFmtId="49" fontId="9" fillId="0" borderId="38" xfId="0" applyNumberFormat="1" applyFont="1" applyBorder="1" applyAlignment="1" applyProtection="1">
      <alignment horizontal="left" vertical="center" wrapText="1"/>
    </xf>
    <xf numFmtId="167" fontId="92" fillId="0" borderId="30" xfId="0" applyNumberFormat="1" applyFont="1" applyFill="1" applyBorder="1" applyAlignment="1" applyProtection="1">
      <alignment vertical="center"/>
    </xf>
    <xf numFmtId="4" fontId="9" fillId="0" borderId="0" xfId="0" applyFont="1" applyBorder="1" applyAlignment="1" applyProtection="1">
      <alignment horizontal="center"/>
    </xf>
    <xf numFmtId="170" fontId="9" fillId="0" borderId="0" xfId="0" applyNumberFormat="1" applyFont="1" applyBorder="1" applyAlignment="1" applyProtection="1">
      <alignment horizontal="center"/>
    </xf>
    <xf numFmtId="4" fontId="9" fillId="0" borderId="0" xfId="0" applyFont="1" applyFill="1" applyBorder="1" applyAlignment="1" applyProtection="1">
      <alignment horizontal="center"/>
    </xf>
    <xf numFmtId="4" fontId="9" fillId="0" borderId="30" xfId="0" applyFont="1" applyFill="1" applyBorder="1" applyAlignment="1" applyProtection="1">
      <alignment horizontal="center"/>
    </xf>
    <xf numFmtId="4" fontId="11" fillId="0" borderId="28" xfId="0" applyFont="1" applyBorder="1" applyAlignment="1" applyProtection="1">
      <alignment horizontal="center"/>
    </xf>
    <xf numFmtId="4" fontId="11" fillId="0" borderId="1" xfId="0" applyFont="1" applyBorder="1" applyAlignment="1" applyProtection="1">
      <alignment horizontal="center"/>
    </xf>
    <xf numFmtId="4" fontId="11" fillId="0" borderId="29" xfId="0" applyFont="1" applyBorder="1" applyAlignment="1" applyProtection="1">
      <alignment horizontal="center"/>
    </xf>
    <xf numFmtId="49" fontId="12" fillId="0" borderId="31" xfId="0" applyNumberFormat="1" applyFont="1" applyBorder="1" applyAlignment="1" applyProtection="1">
      <alignment horizontal="center" vertical="center"/>
    </xf>
    <xf numFmtId="4" fontId="14" fillId="0" borderId="33" xfId="0" applyFont="1" applyBorder="1" applyAlignment="1" applyProtection="1">
      <alignment horizontal="center"/>
    </xf>
    <xf numFmtId="4" fontId="14" fillId="0" borderId="15" xfId="0" applyFont="1" applyBorder="1" applyAlignment="1" applyProtection="1">
      <alignment horizontal="center"/>
    </xf>
    <xf numFmtId="4" fontId="14" fillId="0" borderId="31" xfId="0" applyFont="1" applyBorder="1" applyAlignment="1" applyProtection="1">
      <alignment horizontal="center"/>
    </xf>
    <xf numFmtId="4" fontId="10" fillId="0" borderId="69" xfId="0" applyFont="1" applyBorder="1" applyAlignment="1" applyProtection="1">
      <alignment horizontal="center" wrapText="1"/>
    </xf>
    <xf numFmtId="4" fontId="10" fillId="0" borderId="70" xfId="0" applyFont="1" applyBorder="1" applyAlignment="1" applyProtection="1">
      <alignment horizontal="center" wrapText="1"/>
    </xf>
    <xf numFmtId="4" fontId="9" fillId="14" borderId="2" xfId="0" applyFont="1" applyFill="1" applyBorder="1" applyAlignment="1" applyProtection="1">
      <alignment horizontal="center"/>
      <protection locked="0"/>
    </xf>
    <xf numFmtId="4" fontId="0" fillId="0" borderId="0" xfId="0" applyBorder="1" applyAlignment="1" applyProtection="1">
      <alignment horizontal="center"/>
    </xf>
    <xf numFmtId="4" fontId="9" fillId="0" borderId="28" xfId="0" applyFont="1" applyBorder="1" applyAlignment="1" applyProtection="1">
      <alignment horizontal="center"/>
    </xf>
    <xf numFmtId="4" fontId="9" fillId="0" borderId="1" xfId="0" applyFont="1" applyBorder="1" applyAlignment="1" applyProtection="1">
      <alignment horizontal="center"/>
    </xf>
    <xf numFmtId="4" fontId="9" fillId="0" borderId="2" xfId="0" applyFont="1" applyBorder="1" applyAlignment="1" applyProtection="1">
      <alignment horizontal="center"/>
    </xf>
    <xf numFmtId="4" fontId="9" fillId="0" borderId="30" xfId="0" applyFont="1" applyBorder="1" applyAlignment="1" applyProtection="1">
      <alignment horizontal="center"/>
    </xf>
    <xf numFmtId="4" fontId="14" fillId="0" borderId="34" xfId="0" applyFont="1" applyBorder="1" applyAlignment="1" applyProtection="1">
      <alignment horizontal="center" vertical="center"/>
    </xf>
    <xf numFmtId="4" fontId="14" fillId="0" borderId="27" xfId="0" applyFont="1" applyBorder="1" applyAlignment="1" applyProtection="1">
      <alignment horizontal="center" vertical="center"/>
    </xf>
    <xf numFmtId="4" fontId="14" fillId="0" borderId="29" xfId="0" applyFont="1" applyBorder="1" applyAlignment="1" applyProtection="1">
      <alignment horizontal="center" vertical="center"/>
    </xf>
    <xf numFmtId="4" fontId="13" fillId="0" borderId="34" xfId="0" applyFont="1" applyBorder="1" applyAlignment="1" applyProtection="1">
      <alignment horizontal="center"/>
    </xf>
    <xf numFmtId="4" fontId="13" fillId="0" borderId="27" xfId="0" applyFont="1" applyBorder="1" applyAlignment="1" applyProtection="1">
      <alignment horizontal="center"/>
    </xf>
    <xf numFmtId="4" fontId="13" fillId="0" borderId="29" xfId="0" applyFont="1" applyBorder="1" applyAlignment="1" applyProtection="1">
      <alignment horizontal="center"/>
    </xf>
    <xf numFmtId="4" fontId="9" fillId="0" borderId="0" xfId="0" applyFont="1" applyBorder="1" applyAlignment="1" applyProtection="1">
      <alignment horizontal="center"/>
    </xf>
    <xf numFmtId="170" fontId="32" fillId="0" borderId="59" xfId="0" applyNumberFormat="1" applyFont="1" applyFill="1" applyBorder="1" applyAlignment="1" applyProtection="1">
      <alignment horizontal="left" wrapText="1"/>
    </xf>
    <xf numFmtId="170" fontId="32" fillId="0" borderId="74" xfId="0" applyNumberFormat="1" applyFont="1" applyFill="1" applyBorder="1" applyAlignment="1" applyProtection="1">
      <alignment horizontal="left" wrapText="1"/>
    </xf>
    <xf numFmtId="4" fontId="14" fillId="0" borderId="64" xfId="0" applyFont="1" applyBorder="1" applyAlignment="1" applyProtection="1">
      <alignment horizontal="center" vertical="center" wrapText="1"/>
    </xf>
    <xf numFmtId="4" fontId="14" fillId="0" borderId="11" xfId="0" applyFont="1" applyBorder="1" applyAlignment="1" applyProtection="1">
      <alignment horizontal="center" vertical="center" wrapText="1"/>
    </xf>
    <xf numFmtId="49" fontId="9" fillId="0" borderId="59" xfId="0" applyNumberFormat="1" applyFont="1" applyFill="1" applyBorder="1" applyAlignment="1" applyProtection="1">
      <alignment horizontal="center" vertical="center" wrapText="1"/>
    </xf>
    <xf numFmtId="49" fontId="9" fillId="0" borderId="53" xfId="0" applyNumberFormat="1" applyFont="1" applyFill="1" applyBorder="1" applyAlignment="1" applyProtection="1">
      <alignment horizontal="center" vertical="center" wrapText="1"/>
    </xf>
    <xf numFmtId="49" fontId="14" fillId="0" borderId="28" xfId="0" applyNumberFormat="1" applyFont="1" applyFill="1" applyBorder="1" applyAlignment="1" applyProtection="1">
      <alignment horizontal="right" vertical="center"/>
    </xf>
    <xf numFmtId="49" fontId="14" fillId="0" borderId="0" xfId="0" applyNumberFormat="1" applyFont="1" applyFill="1" applyBorder="1" applyAlignment="1" applyProtection="1">
      <alignment horizontal="right" vertical="center"/>
    </xf>
    <xf numFmtId="49" fontId="14" fillId="0" borderId="107" xfId="0" applyNumberFormat="1" applyFont="1" applyFill="1" applyBorder="1" applyAlignment="1" applyProtection="1">
      <alignment horizontal="right" vertical="center"/>
    </xf>
    <xf numFmtId="49" fontId="14" fillId="0" borderId="9" xfId="0" applyNumberFormat="1" applyFont="1" applyFill="1" applyBorder="1" applyAlignment="1" applyProtection="1">
      <alignment horizontal="right" vertical="center"/>
    </xf>
    <xf numFmtId="49" fontId="14" fillId="0" borderId="99" xfId="0" applyNumberFormat="1" applyFont="1" applyFill="1" applyBorder="1" applyAlignment="1" applyProtection="1">
      <alignment horizontal="right" vertical="center"/>
    </xf>
    <xf numFmtId="4" fontId="90" fillId="18" borderId="38" xfId="0" applyFont="1" applyFill="1" applyBorder="1" applyAlignment="1">
      <alignment horizontal="left"/>
    </xf>
    <xf numFmtId="4" fontId="90" fillId="18" borderId="59" xfId="0" applyFont="1" applyFill="1" applyBorder="1" applyAlignment="1">
      <alignment horizontal="left"/>
    </xf>
    <xf numFmtId="4" fontId="90" fillId="18" borderId="74" xfId="0" applyFont="1" applyFill="1" applyBorder="1" applyAlignment="1">
      <alignment horizontal="left"/>
    </xf>
    <xf numFmtId="4" fontId="90" fillId="18" borderId="127" xfId="0" applyFont="1" applyFill="1" applyBorder="1" applyAlignment="1">
      <alignment horizontal="left"/>
    </xf>
    <xf numFmtId="4" fontId="90" fillId="18" borderId="118" xfId="0" applyFont="1" applyFill="1" applyBorder="1" applyAlignment="1">
      <alignment horizontal="left"/>
    </xf>
    <xf numFmtId="49" fontId="9" fillId="18" borderId="12" xfId="0" applyNumberFormat="1" applyFont="1" applyFill="1" applyBorder="1" applyAlignment="1" applyProtection="1">
      <alignment horizontal="left"/>
    </xf>
    <xf numFmtId="49" fontId="9" fillId="18" borderId="10" xfId="0" applyNumberFormat="1" applyFont="1" applyFill="1" applyBorder="1" applyAlignment="1" applyProtection="1">
      <alignment horizontal="left"/>
    </xf>
    <xf numFmtId="49" fontId="9" fillId="0" borderId="11" xfId="0" applyNumberFormat="1" applyFont="1" applyBorder="1" applyAlignment="1" applyProtection="1">
      <alignment horizontal="center"/>
    </xf>
    <xf numFmtId="4" fontId="9" fillId="0" borderId="12" xfId="0" applyFont="1" applyBorder="1" applyAlignment="1" applyProtection="1">
      <alignment horizontal="left" vertical="center" wrapText="1"/>
    </xf>
    <xf numFmtId="4" fontId="9" fillId="0" borderId="10" xfId="0" applyFont="1" applyBorder="1" applyAlignment="1" applyProtection="1">
      <alignment horizontal="left" vertical="center" wrapText="1"/>
    </xf>
    <xf numFmtId="4" fontId="9" fillId="0" borderId="12" xfId="0" applyFont="1" applyBorder="1" applyAlignment="1" applyProtection="1">
      <alignment horizontal="left"/>
    </xf>
    <xf numFmtId="4" fontId="9" fillId="0" borderId="10" xfId="0" applyFont="1" applyBorder="1" applyAlignment="1" applyProtection="1">
      <alignment horizontal="left"/>
    </xf>
    <xf numFmtId="49" fontId="9" fillId="18" borderId="12" xfId="0" applyNumberFormat="1" applyFont="1" applyFill="1" applyBorder="1" applyAlignment="1" applyProtection="1">
      <alignment horizontal="center" vertical="center"/>
    </xf>
    <xf numFmtId="49" fontId="9" fillId="18" borderId="10" xfId="0" applyNumberFormat="1" applyFont="1" applyFill="1" applyBorder="1" applyAlignment="1" applyProtection="1">
      <alignment horizontal="center" vertical="center"/>
    </xf>
    <xf numFmtId="4" fontId="16" fillId="0" borderId="105" xfId="0" applyFont="1" applyBorder="1" applyAlignment="1" applyProtection="1">
      <alignment horizontal="center" vertical="center" wrapText="1"/>
    </xf>
    <xf numFmtId="4" fontId="16" fillId="0" borderId="106" xfId="0" applyFont="1" applyBorder="1" applyAlignment="1" applyProtection="1">
      <alignment horizontal="center" vertical="center" wrapText="1"/>
    </xf>
    <xf numFmtId="4" fontId="17" fillId="0" borderId="107" xfId="0" applyFont="1" applyBorder="1" applyAlignment="1" applyProtection="1">
      <alignment horizontal="center" vertical="center"/>
    </xf>
    <xf numFmtId="4" fontId="17" fillId="0" borderId="9" xfId="0" applyFont="1" applyBorder="1" applyAlignment="1" applyProtection="1">
      <alignment horizontal="center" vertical="center"/>
    </xf>
    <xf numFmtId="4" fontId="16" fillId="0" borderId="52" xfId="0" applyFont="1" applyBorder="1" applyAlignment="1" applyProtection="1">
      <alignment horizontal="center" vertical="center" wrapText="1"/>
    </xf>
    <xf numFmtId="4" fontId="16" fillId="0" borderId="69" xfId="0" applyFont="1" applyBorder="1" applyAlignment="1" applyProtection="1">
      <alignment horizontal="center" vertical="center" wrapText="1"/>
    </xf>
    <xf numFmtId="4" fontId="16" fillId="0" borderId="70" xfId="0" applyFont="1" applyBorder="1" applyAlignment="1" applyProtection="1">
      <alignment horizontal="center" vertical="center" wrapText="1"/>
    </xf>
    <xf numFmtId="4" fontId="16" fillId="0" borderId="55" xfId="0" applyFont="1" applyBorder="1" applyAlignment="1" applyProtection="1">
      <alignment horizontal="center" vertical="center" wrapText="1"/>
    </xf>
    <xf numFmtId="4" fontId="16" fillId="0" borderId="0" xfId="0" applyFont="1" applyBorder="1" applyAlignment="1" applyProtection="1">
      <alignment horizontal="center" vertical="center" wrapText="1"/>
    </xf>
    <xf numFmtId="4" fontId="16" fillId="0" borderId="30" xfId="0" applyFont="1" applyBorder="1" applyAlignment="1" applyProtection="1">
      <alignment horizontal="center" vertical="center" wrapText="1"/>
    </xf>
    <xf numFmtId="4" fontId="16" fillId="0" borderId="56" xfId="0" applyFont="1" applyBorder="1" applyAlignment="1" applyProtection="1">
      <alignment horizontal="center" vertical="center" wrapText="1"/>
    </xf>
    <xf numFmtId="4" fontId="16" fillId="0" borderId="57" xfId="0" applyFont="1" applyBorder="1" applyAlignment="1" applyProtection="1">
      <alignment horizontal="center" vertical="center" wrapText="1"/>
    </xf>
    <xf numFmtId="4" fontId="16" fillId="0" borderId="96" xfId="0" applyFont="1" applyBorder="1" applyAlignment="1" applyProtection="1">
      <alignment horizontal="center" vertical="center" wrapText="1"/>
    </xf>
    <xf numFmtId="4" fontId="21" fillId="0" borderId="61" xfId="0" applyFont="1" applyBorder="1" applyAlignment="1" applyProtection="1">
      <alignment horizontal="center"/>
    </xf>
    <xf numFmtId="4" fontId="21" fillId="0" borderId="62" xfId="0" applyFont="1" applyBorder="1" applyAlignment="1" applyProtection="1">
      <alignment horizontal="center"/>
    </xf>
    <xf numFmtId="49" fontId="14" fillId="0" borderId="76" xfId="0" applyNumberFormat="1" applyFont="1" applyFill="1" applyBorder="1" applyAlignment="1" applyProtection="1">
      <alignment horizontal="right" vertical="center"/>
    </xf>
    <xf numFmtId="49" fontId="14" fillId="0" borderId="38" xfId="0" applyNumberFormat="1" applyFont="1" applyFill="1" applyBorder="1" applyAlignment="1" applyProtection="1">
      <alignment horizontal="right" vertical="center"/>
    </xf>
    <xf numFmtId="49" fontId="14" fillId="0" borderId="59" xfId="0" applyNumberFormat="1" applyFont="1" applyFill="1" applyBorder="1" applyAlignment="1" applyProtection="1">
      <alignment horizontal="right" vertical="center"/>
    </xf>
    <xf numFmtId="49" fontId="14" fillId="0" borderId="81" xfId="0" applyNumberFormat="1" applyFont="1" applyFill="1" applyBorder="1" applyAlignment="1" applyProtection="1">
      <alignment horizontal="right" vertical="center"/>
    </xf>
    <xf numFmtId="49" fontId="14" fillId="0" borderId="60" xfId="0" applyNumberFormat="1" applyFont="1" applyFill="1" applyBorder="1" applyAlignment="1" applyProtection="1">
      <alignment horizontal="right" vertical="center"/>
    </xf>
    <xf numFmtId="49" fontId="14" fillId="0" borderId="54" xfId="0" applyNumberFormat="1" applyFont="1" applyFill="1" applyBorder="1" applyAlignment="1" applyProtection="1">
      <alignment horizontal="right" vertical="center"/>
    </xf>
    <xf numFmtId="49" fontId="21" fillId="0" borderId="61" xfId="0" applyNumberFormat="1" applyFont="1" applyFill="1" applyBorder="1" applyAlignment="1" applyProtection="1">
      <alignment horizontal="right" vertical="center"/>
    </xf>
    <xf numFmtId="49" fontId="21" fillId="0" borderId="63" xfId="0" applyNumberFormat="1" applyFont="1" applyFill="1" applyBorder="1" applyAlignment="1" applyProtection="1">
      <alignment horizontal="right" vertical="center"/>
    </xf>
    <xf numFmtId="49" fontId="21" fillId="0" borderId="62" xfId="0" applyNumberFormat="1" applyFont="1" applyFill="1" applyBorder="1" applyAlignment="1" applyProtection="1">
      <alignment horizontal="right" vertical="center"/>
    </xf>
    <xf numFmtId="4" fontId="9" fillId="0" borderId="28" xfId="0" applyFont="1" applyBorder="1" applyAlignment="1" applyProtection="1">
      <alignment horizontal="left" vertical="center"/>
    </xf>
    <xf numFmtId="4" fontId="9" fillId="0" borderId="5" xfId="0" applyFont="1" applyBorder="1" applyAlignment="1" applyProtection="1">
      <alignment horizontal="left" vertical="center"/>
    </xf>
    <xf numFmtId="4" fontId="9" fillId="0" borderId="109" xfId="0" applyFont="1" applyBorder="1" applyAlignment="1" applyProtection="1">
      <alignment horizontal="left" vertical="center"/>
    </xf>
    <xf numFmtId="4" fontId="9" fillId="0" borderId="8" xfId="0" applyFont="1" applyBorder="1" applyAlignment="1" applyProtection="1">
      <alignment horizontal="left" vertical="center"/>
    </xf>
    <xf numFmtId="49" fontId="9" fillId="0" borderId="38" xfId="0" applyNumberFormat="1" applyFont="1" applyBorder="1" applyAlignment="1" applyProtection="1">
      <alignment horizontal="center"/>
    </xf>
    <xf numFmtId="49" fontId="9" fillId="0" borderId="59" xfId="0" applyNumberFormat="1" applyFont="1" applyBorder="1" applyAlignment="1" applyProtection="1">
      <alignment horizontal="center"/>
    </xf>
    <xf numFmtId="4" fontId="26" fillId="0" borderId="15" xfId="0" applyFont="1" applyBorder="1" applyAlignment="1" applyProtection="1">
      <alignment horizontal="center" vertical="center"/>
    </xf>
    <xf numFmtId="4" fontId="26" fillId="0" borderId="31" xfId="0" applyFont="1" applyBorder="1" applyAlignment="1" applyProtection="1">
      <alignment horizontal="center" vertical="center"/>
    </xf>
    <xf numFmtId="168" fontId="23" fillId="0" borderId="101" xfId="0" applyNumberFormat="1" applyFont="1" applyBorder="1" applyAlignment="1" applyProtection="1">
      <alignment horizontal="center" vertical="center" wrapText="1"/>
    </xf>
    <xf numFmtId="168" fontId="23" fillId="0" borderId="13" xfId="0" applyNumberFormat="1" applyFont="1" applyBorder="1" applyAlignment="1" applyProtection="1">
      <alignment horizontal="center" vertical="center" wrapText="1"/>
    </xf>
    <xf numFmtId="168" fontId="23" fillId="0" borderId="115" xfId="0" applyNumberFormat="1" applyFont="1" applyBorder="1" applyAlignment="1" applyProtection="1">
      <alignment horizontal="center" vertical="center" wrapText="1"/>
    </xf>
    <xf numFmtId="4" fontId="14" fillId="0" borderId="15" xfId="0" applyFont="1" applyBorder="1" applyAlignment="1" applyProtection="1">
      <alignment horizontal="center" vertical="center"/>
    </xf>
    <xf numFmtId="4" fontId="14" fillId="0" borderId="31" xfId="0" applyFont="1" applyBorder="1" applyAlignment="1" applyProtection="1">
      <alignment horizontal="center" vertical="center"/>
    </xf>
    <xf numFmtId="4" fontId="14" fillId="0" borderId="61" xfId="0" applyFont="1" applyBorder="1" applyAlignment="1" applyProtection="1">
      <alignment horizontal="center"/>
    </xf>
    <xf numFmtId="4" fontId="14" fillId="0" borderId="62" xfId="0" applyFont="1" applyBorder="1" applyAlignment="1" applyProtection="1">
      <alignment horizontal="center"/>
    </xf>
    <xf numFmtId="4" fontId="14" fillId="0" borderId="16" xfId="0" applyFont="1" applyBorder="1" applyAlignment="1" applyProtection="1">
      <alignment horizontal="right"/>
    </xf>
    <xf numFmtId="4" fontId="14" fillId="0" borderId="17" xfId="0" applyFont="1" applyBorder="1" applyAlignment="1" applyProtection="1">
      <alignment horizontal="right"/>
    </xf>
    <xf numFmtId="4" fontId="14" fillId="0" borderId="66" xfId="0" applyFont="1" applyBorder="1" applyAlignment="1" applyProtection="1">
      <alignment horizontal="right"/>
    </xf>
    <xf numFmtId="4" fontId="23" fillId="0" borderId="67" xfId="0" applyFont="1" applyBorder="1" applyAlignment="1" applyProtection="1">
      <alignment horizontal="center"/>
    </xf>
    <xf numFmtId="4" fontId="23" fillId="0" borderId="116" xfId="0" applyFont="1" applyBorder="1" applyAlignment="1" applyProtection="1">
      <alignment horizontal="center"/>
    </xf>
    <xf numFmtId="4" fontId="25" fillId="0" borderId="16" xfId="0" applyFont="1" applyBorder="1" applyAlignment="1" applyProtection="1">
      <alignment horizontal="right"/>
    </xf>
    <xf numFmtId="4" fontId="25" fillId="0" borderId="17" xfId="0" applyFont="1" applyBorder="1" applyAlignment="1" applyProtection="1">
      <alignment horizontal="right"/>
    </xf>
    <xf numFmtId="4" fontId="24" fillId="0" borderId="61" xfId="0" applyFont="1" applyBorder="1" applyAlignment="1" applyProtection="1">
      <alignment horizontal="center" vertical="center"/>
    </xf>
    <xf numFmtId="4" fontId="24" fillId="0" borderId="63" xfId="0" applyFont="1" applyBorder="1" applyAlignment="1" applyProtection="1">
      <alignment horizontal="center" vertical="center"/>
    </xf>
    <xf numFmtId="4" fontId="24" fillId="0" borderId="62" xfId="0" applyFont="1" applyBorder="1" applyAlignment="1" applyProtection="1">
      <alignment horizontal="center" vertical="center"/>
    </xf>
    <xf numFmtId="4" fontId="25" fillId="0" borderId="0" xfId="0" applyFont="1" applyBorder="1" applyAlignment="1" applyProtection="1">
      <alignment horizontal="center" vertical="center"/>
    </xf>
    <xf numFmtId="4" fontId="23" fillId="0" borderId="0" xfId="0" applyFont="1" applyBorder="1" applyAlignment="1" applyProtection="1">
      <alignment horizontal="center" vertical="center"/>
    </xf>
    <xf numFmtId="4" fontId="23" fillId="0" borderId="30" xfId="0" applyFont="1" applyBorder="1" applyAlignment="1" applyProtection="1">
      <alignment horizontal="center" vertical="center"/>
    </xf>
    <xf numFmtId="4" fontId="93" fillId="0" borderId="9" xfId="0" applyFont="1" applyBorder="1" applyAlignment="1" applyProtection="1">
      <alignment horizontal="center" vertical="center"/>
    </xf>
    <xf numFmtId="4" fontId="93" fillId="0" borderId="110" xfId="0" applyFont="1" applyBorder="1" applyAlignment="1" applyProtection="1">
      <alignment horizontal="center" vertical="center"/>
    </xf>
    <xf numFmtId="170" fontId="9" fillId="0" borderId="0" xfId="0" applyNumberFormat="1" applyFont="1" applyBorder="1" applyAlignment="1" applyProtection="1">
      <alignment horizontal="center" wrapText="1"/>
    </xf>
    <xf numFmtId="0" fontId="67" fillId="16" borderId="38" xfId="1242" applyFont="1" applyFill="1" applyBorder="1" applyAlignment="1">
      <alignment horizontal="center" vertical="center" wrapText="1"/>
    </xf>
    <xf numFmtId="4" fontId="74" fillId="0" borderId="0" xfId="0" applyFont="1" applyAlignment="1">
      <alignment horizontal="center"/>
    </xf>
    <xf numFmtId="4" fontId="51" fillId="16" borderId="75" xfId="0" applyFont="1" applyFill="1" applyBorder="1" applyAlignment="1">
      <alignment horizontal="center" wrapText="1"/>
    </xf>
    <xf numFmtId="4" fontId="51" fillId="16" borderId="102" xfId="0" applyFont="1" applyFill="1" applyBorder="1" applyAlignment="1">
      <alignment horizontal="center" wrapText="1"/>
    </xf>
    <xf numFmtId="4" fontId="51" fillId="16" borderId="88" xfId="0" applyFont="1" applyFill="1" applyBorder="1" applyAlignment="1">
      <alignment horizontal="center" wrapText="1"/>
    </xf>
    <xf numFmtId="4" fontId="70" fillId="16" borderId="87" xfId="0" applyFont="1" applyFill="1" applyBorder="1" applyAlignment="1">
      <alignment horizontal="center" wrapText="1"/>
    </xf>
    <xf numFmtId="4" fontId="70" fillId="16" borderId="84" xfId="0" applyFont="1" applyFill="1" applyBorder="1" applyAlignment="1">
      <alignment horizontal="center" wrapText="1"/>
    </xf>
    <xf numFmtId="4" fontId="70" fillId="16" borderId="86" xfId="0" applyFont="1" applyFill="1" applyBorder="1" applyAlignment="1">
      <alignment horizontal="center" wrapText="1"/>
    </xf>
    <xf numFmtId="4" fontId="71" fillId="16" borderId="51" xfId="0" applyFont="1" applyFill="1" applyBorder="1" applyAlignment="1">
      <alignment horizontal="center" vertical="center"/>
    </xf>
    <xf numFmtId="4" fontId="71" fillId="16" borderId="50" xfId="0" applyFont="1" applyFill="1" applyBorder="1" applyAlignment="1">
      <alignment horizontal="center" vertical="center"/>
    </xf>
    <xf numFmtId="4" fontId="71" fillId="16" borderId="52" xfId="0" applyFont="1" applyFill="1" applyBorder="1" applyAlignment="1">
      <alignment horizontal="center" vertical="center"/>
    </xf>
    <xf numFmtId="4" fontId="71" fillId="16" borderId="87" xfId="0" applyFont="1" applyFill="1" applyBorder="1" applyAlignment="1">
      <alignment horizontal="center" vertical="center"/>
    </xf>
    <xf numFmtId="4" fontId="71" fillId="16" borderId="86" xfId="0" applyFont="1" applyFill="1" applyBorder="1" applyAlignment="1">
      <alignment horizontal="center" vertical="center"/>
    </xf>
    <xf numFmtId="4" fontId="71" fillId="16" borderId="84" xfId="0" applyFont="1" applyFill="1" applyBorder="1" applyAlignment="1">
      <alignment horizontal="center" vertical="center"/>
    </xf>
    <xf numFmtId="4" fontId="71" fillId="16" borderId="85" xfId="0" applyFont="1" applyFill="1" applyBorder="1" applyAlignment="1">
      <alignment horizontal="center" vertical="center"/>
    </xf>
    <xf numFmtId="4" fontId="71" fillId="16" borderId="91" xfId="0" applyFont="1" applyFill="1" applyBorder="1" applyAlignment="1">
      <alignment horizontal="center" vertical="center"/>
    </xf>
    <xf numFmtId="4" fontId="71" fillId="16" borderId="92" xfId="0" applyFont="1" applyFill="1" applyBorder="1" applyAlignment="1">
      <alignment horizontal="center" vertical="center"/>
    </xf>
    <xf numFmtId="4" fontId="71" fillId="16" borderId="100" xfId="0" applyFont="1" applyFill="1" applyBorder="1" applyAlignment="1">
      <alignment horizontal="center" vertical="center"/>
    </xf>
    <xf numFmtId="0" fontId="51" fillId="16" borderId="103" xfId="1242" applyFont="1" applyFill="1" applyBorder="1" applyAlignment="1">
      <alignment horizontal="center" vertical="center" wrapText="1"/>
    </xf>
    <xf numFmtId="0" fontId="51" fillId="16" borderId="89" xfId="1242" applyFont="1" applyFill="1" applyBorder="1" applyAlignment="1">
      <alignment horizontal="center" vertical="center" wrapText="1"/>
    </xf>
    <xf numFmtId="4" fontId="75" fillId="0" borderId="61" xfId="0" applyFont="1" applyBorder="1" applyAlignment="1">
      <alignment horizontal="center"/>
    </xf>
    <xf numFmtId="4" fontId="75" fillId="0" borderId="63" xfId="0" applyFont="1" applyBorder="1" applyAlignment="1">
      <alignment horizontal="center"/>
    </xf>
    <xf numFmtId="4" fontId="75" fillId="0" borderId="62" xfId="0" applyFont="1" applyBorder="1" applyAlignment="1">
      <alignment horizontal="center"/>
    </xf>
    <xf numFmtId="4" fontId="71" fillId="0" borderId="38" xfId="0" applyFont="1" applyFill="1" applyBorder="1" applyAlignment="1">
      <alignment horizontal="left"/>
    </xf>
    <xf numFmtId="4" fontId="83" fillId="0" borderId="38" xfId="0" applyFont="1" applyFill="1" applyBorder="1" applyAlignment="1">
      <alignment horizontal="center" vertical="center" wrapText="1"/>
    </xf>
    <xf numFmtId="4" fontId="83" fillId="0" borderId="59" xfId="0" applyFont="1" applyFill="1" applyBorder="1" applyAlignment="1">
      <alignment horizontal="center" vertical="center" wrapText="1"/>
    </xf>
    <xf numFmtId="4" fontId="71" fillId="0" borderId="38" xfId="0" applyFont="1" applyFill="1" applyBorder="1" applyAlignment="1">
      <alignment horizontal="left" vertical="top"/>
    </xf>
    <xf numFmtId="4" fontId="69" fillId="0" borderId="54" xfId="0" applyFont="1" applyFill="1" applyBorder="1" applyAlignment="1">
      <alignment horizontal="left"/>
    </xf>
    <xf numFmtId="4" fontId="69" fillId="0" borderId="117" xfId="0" applyFont="1" applyFill="1" applyBorder="1" applyAlignment="1">
      <alignment horizontal="left"/>
    </xf>
    <xf numFmtId="4" fontId="69" fillId="0" borderId="118" xfId="0" applyFont="1" applyFill="1" applyBorder="1" applyAlignment="1">
      <alignment horizontal="left"/>
    </xf>
    <xf numFmtId="4" fontId="69" fillId="0" borderId="56" xfId="0" applyFont="1" applyFill="1" applyBorder="1" applyAlignment="1">
      <alignment horizontal="center"/>
    </xf>
    <xf numFmtId="4" fontId="69" fillId="0" borderId="57" xfId="0" applyFont="1" applyFill="1" applyBorder="1" applyAlignment="1">
      <alignment horizontal="center"/>
    </xf>
    <xf numFmtId="4" fontId="69" fillId="0" borderId="119" xfId="0" applyFont="1" applyFill="1" applyBorder="1" applyAlignment="1">
      <alignment horizontal="center"/>
    </xf>
    <xf numFmtId="4" fontId="69" fillId="0" borderId="60" xfId="0" applyFont="1" applyFill="1" applyBorder="1" applyAlignment="1">
      <alignment horizontal="left"/>
    </xf>
    <xf numFmtId="4" fontId="71" fillId="0" borderId="38" xfId="0" applyFont="1" applyFill="1" applyBorder="1" applyAlignment="1">
      <alignment horizontal="center" wrapText="1"/>
    </xf>
    <xf numFmtId="4" fontId="69" fillId="0" borderId="38" xfId="0" applyFont="1" applyFill="1" applyBorder="1" applyAlignment="1">
      <alignment horizontal="left"/>
    </xf>
    <xf numFmtId="49" fontId="69" fillId="0" borderId="38" xfId="0" applyNumberFormat="1" applyFont="1" applyFill="1" applyBorder="1" applyAlignment="1">
      <alignment horizontal="left"/>
    </xf>
    <xf numFmtId="4" fontId="71" fillId="0" borderId="38" xfId="0" applyFont="1" applyFill="1" applyBorder="1" applyAlignment="1">
      <alignment horizontal="center"/>
    </xf>
    <xf numFmtId="4" fontId="61" fillId="12" borderId="61" xfId="0" applyFont="1" applyFill="1" applyBorder="1" applyAlignment="1">
      <alignment horizontal="center"/>
    </xf>
    <xf numFmtId="4" fontId="61" fillId="12" borderId="63" xfId="0" applyFont="1" applyFill="1" applyBorder="1" applyAlignment="1">
      <alignment horizontal="center"/>
    </xf>
    <xf numFmtId="4" fontId="61" fillId="12" borderId="62" xfId="0" applyFont="1" applyFill="1" applyBorder="1" applyAlignment="1">
      <alignment horizontal="center"/>
    </xf>
    <xf numFmtId="4" fontId="61" fillId="12" borderId="0" xfId="0" applyFont="1" applyFill="1" applyAlignment="1">
      <alignment horizontal="center"/>
    </xf>
    <xf numFmtId="187" fontId="87" fillId="0" borderId="59" xfId="0" applyNumberFormat="1" applyFont="1" applyBorder="1" applyAlignment="1">
      <alignment horizontal="left"/>
    </xf>
    <xf numFmtId="187" fontId="87" fillId="0" borderId="53" xfId="0" applyNumberFormat="1" applyFont="1" applyBorder="1" applyAlignment="1">
      <alignment horizontal="left"/>
    </xf>
    <xf numFmtId="188" fontId="87" fillId="0" borderId="53" xfId="0" applyNumberFormat="1" applyFont="1" applyBorder="1" applyAlignment="1">
      <alignment horizontal="left"/>
    </xf>
    <xf numFmtId="4" fontId="86" fillId="0" borderId="98" xfId="0" applyFont="1" applyBorder="1" applyAlignment="1">
      <alignment horizontal="center"/>
    </xf>
    <xf numFmtId="4" fontId="86" fillId="0" borderId="63" xfId="0" applyFont="1" applyBorder="1" applyAlignment="1">
      <alignment horizontal="center"/>
    </xf>
    <xf numFmtId="4" fontId="86" fillId="0" borderId="126" xfId="0" applyFont="1" applyBorder="1" applyAlignment="1">
      <alignment horizontal="center"/>
    </xf>
    <xf numFmtId="4" fontId="85" fillId="0" borderId="38" xfId="0" applyFont="1" applyFill="1" applyBorder="1" applyAlignment="1">
      <alignment horizontal="center"/>
    </xf>
    <xf numFmtId="4" fontId="85" fillId="0" borderId="38" xfId="0" applyFont="1" applyFill="1" applyBorder="1" applyAlignment="1">
      <alignment horizontal="left" vertical="top"/>
    </xf>
    <xf numFmtId="4" fontId="84" fillId="0" borderId="38" xfId="0" applyFont="1" applyFill="1" applyBorder="1" applyAlignment="1">
      <alignment horizontal="left"/>
    </xf>
    <xf numFmtId="49" fontId="84" fillId="0" borderId="38" xfId="0" applyNumberFormat="1" applyFont="1" applyFill="1" applyBorder="1" applyAlignment="1">
      <alignment horizontal="left"/>
    </xf>
    <xf numFmtId="4" fontId="85" fillId="0" borderId="38" xfId="0" applyFont="1" applyFill="1" applyBorder="1" applyAlignment="1">
      <alignment horizontal="left"/>
    </xf>
    <xf numFmtId="4" fontId="85" fillId="0" borderId="38" xfId="0" applyFont="1" applyFill="1" applyBorder="1" applyAlignment="1">
      <alignment horizontal="center" wrapText="1"/>
    </xf>
    <xf numFmtId="4" fontId="88" fillId="0" borderId="38" xfId="0" applyFont="1" applyFill="1" applyBorder="1" applyAlignment="1">
      <alignment horizontal="center" vertical="center" wrapText="1"/>
    </xf>
    <xf numFmtId="4" fontId="88" fillId="0" borderId="59" xfId="0" applyFont="1" applyFill="1" applyBorder="1" applyAlignment="1">
      <alignment horizontal="center" vertical="center" wrapText="1"/>
    </xf>
    <xf numFmtId="4" fontId="84" fillId="0" borderId="60" xfId="0" applyFont="1" applyFill="1" applyBorder="1" applyAlignment="1">
      <alignment horizontal="left"/>
    </xf>
    <xf numFmtId="4" fontId="84" fillId="0" borderId="54" xfId="0" applyFont="1" applyFill="1" applyBorder="1" applyAlignment="1">
      <alignment horizontal="left"/>
    </xf>
    <xf numFmtId="4" fontId="84" fillId="0" borderId="117" xfId="0" applyFont="1" applyFill="1" applyBorder="1" applyAlignment="1">
      <alignment horizontal="left"/>
    </xf>
    <xf numFmtId="4" fontId="84" fillId="0" borderId="118" xfId="0" applyFont="1" applyFill="1" applyBorder="1" applyAlignment="1">
      <alignment horizontal="left"/>
    </xf>
    <xf numFmtId="4" fontId="84" fillId="0" borderId="56" xfId="0" applyFont="1" applyFill="1" applyBorder="1" applyAlignment="1">
      <alignment horizontal="center"/>
    </xf>
    <xf numFmtId="4" fontId="84" fillId="0" borderId="57" xfId="0" applyFont="1" applyFill="1" applyBorder="1" applyAlignment="1">
      <alignment horizontal="center"/>
    </xf>
    <xf numFmtId="4" fontId="84" fillId="0" borderId="119" xfId="0" applyFont="1" applyFill="1" applyBorder="1" applyAlignment="1">
      <alignment horizontal="center"/>
    </xf>
    <xf numFmtId="4" fontId="30" fillId="0" borderId="15" xfId="0" applyFont="1" applyFill="1" applyBorder="1" applyAlignment="1">
      <alignment horizontal="center" vertical="center"/>
    </xf>
    <xf numFmtId="170" fontId="29" fillId="0" borderId="1" xfId="2" applyNumberFormat="1" applyFont="1" applyFill="1" applyBorder="1" applyAlignment="1" applyProtection="1">
      <alignment horizontal="center" vertical="center" wrapText="1"/>
    </xf>
    <xf numFmtId="170" fontId="28" fillId="0" borderId="15" xfId="2" applyNumberFormat="1" applyFont="1" applyFill="1" applyBorder="1" applyAlignment="1" applyProtection="1">
      <alignment horizontal="center" vertical="center"/>
    </xf>
    <xf numFmtId="170" fontId="23" fillId="0" borderId="15" xfId="2" applyNumberFormat="1" applyFont="1" applyFill="1" applyBorder="1" applyAlignment="1" applyProtection="1">
      <alignment horizontal="center" vertical="center"/>
    </xf>
    <xf numFmtId="170" fontId="9" fillId="0" borderId="15" xfId="2" applyNumberFormat="1" applyFont="1" applyFill="1" applyBorder="1" applyAlignment="1" applyProtection="1">
      <alignment horizontal="center" vertical="center"/>
    </xf>
    <xf numFmtId="170" fontId="30" fillId="0" borderId="15" xfId="2" applyNumberFormat="1" applyFont="1" applyFill="1" applyBorder="1" applyAlignment="1" applyProtection="1">
      <alignment horizontal="center" vertical="center"/>
    </xf>
    <xf numFmtId="170" fontId="30" fillId="0" borderId="15" xfId="2" applyNumberFormat="1" applyFont="1" applyFill="1" applyBorder="1" applyAlignment="1" applyProtection="1">
      <alignment horizontal="center" vertical="center" wrapText="1"/>
    </xf>
    <xf numFmtId="4" fontId="30" fillId="0" borderId="15" xfId="2" applyFont="1" applyFill="1" applyBorder="1" applyAlignment="1" applyProtection="1">
      <alignment horizontal="center" vertical="center" wrapText="1"/>
    </xf>
    <xf numFmtId="4" fontId="34" fillId="0" borderId="0" xfId="0" applyFont="1" applyBorder="1" applyAlignment="1">
      <alignment horizontal="center" vertical="center" wrapText="1"/>
    </xf>
    <xf numFmtId="0" fontId="0" fillId="0" borderId="69" xfId="1526" applyFont="1" applyBorder="1" applyAlignment="1">
      <alignment horizontal="center"/>
    </xf>
    <xf numFmtId="0" fontId="59" fillId="0" borderId="69" xfId="1526" applyBorder="1" applyAlignment="1">
      <alignment horizontal="center"/>
    </xf>
    <xf numFmtId="4" fontId="7" fillId="0" borderId="0" xfId="1526" applyNumberFormat="1" applyFont="1" applyAlignment="1">
      <alignment horizontal="left" vertical="center"/>
    </xf>
    <xf numFmtId="0" fontId="0" fillId="0" borderId="28" xfId="1526" applyFont="1" applyBorder="1" applyAlignment="1">
      <alignment horizontal="left"/>
    </xf>
    <xf numFmtId="0" fontId="0" fillId="0" borderId="30" xfId="1526" applyFont="1" applyBorder="1" applyAlignment="1">
      <alignment horizontal="left"/>
    </xf>
    <xf numFmtId="0" fontId="59" fillId="0" borderId="30" xfId="1526" applyBorder="1" applyAlignment="1">
      <alignment horizontal="left"/>
    </xf>
    <xf numFmtId="0" fontId="59" fillId="0" borderId="28" xfId="1526" applyBorder="1" applyAlignment="1">
      <alignment horizontal="left"/>
    </xf>
    <xf numFmtId="0" fontId="60" fillId="0" borderId="0" xfId="1526" applyFont="1" applyAlignment="1">
      <alignment horizontal="center"/>
    </xf>
    <xf numFmtId="0" fontId="60" fillId="0" borderId="0" xfId="1526" applyFont="1" applyAlignment="1">
      <alignment horizontal="center" vertical="center" wrapText="1"/>
    </xf>
    <xf numFmtId="0" fontId="59" fillId="0" borderId="0" xfId="1526" applyAlignment="1">
      <alignment horizontal="center"/>
    </xf>
    <xf numFmtId="0" fontId="64" fillId="0" borderId="61" xfId="1526" applyFont="1" applyBorder="1" applyAlignment="1">
      <alignment horizontal="center" vertical="center" wrapText="1"/>
    </xf>
    <xf numFmtId="0" fontId="64" fillId="0" borderId="62" xfId="1526" applyFont="1" applyBorder="1" applyAlignment="1">
      <alignment horizontal="center" vertical="center" wrapText="1"/>
    </xf>
  </cellXfs>
  <cellStyles count="3777">
    <cellStyle name="Buena 10" xfId="122"/>
    <cellStyle name="Buena 11" xfId="141"/>
    <cellStyle name="Buena 12" xfId="154"/>
    <cellStyle name="Buena 13" xfId="161"/>
    <cellStyle name="Buena 14" xfId="174"/>
    <cellStyle name="Buena 15" xfId="187"/>
    <cellStyle name="Buena 16" xfId="200"/>
    <cellStyle name="Buena 17" xfId="213"/>
    <cellStyle name="Buena 18" xfId="226"/>
    <cellStyle name="Buena 19" xfId="239"/>
    <cellStyle name="Buena 2" xfId="23"/>
    <cellStyle name="Buena 20" xfId="252"/>
    <cellStyle name="Buena 21" xfId="265"/>
    <cellStyle name="Buena 22" xfId="278"/>
    <cellStyle name="Buena 23" xfId="291"/>
    <cellStyle name="Buena 24" xfId="304"/>
    <cellStyle name="Buena 25" xfId="317"/>
    <cellStyle name="Buena 26" xfId="336"/>
    <cellStyle name="Buena 27" xfId="610"/>
    <cellStyle name="Buena 28" xfId="657"/>
    <cellStyle name="Buena 29" xfId="699"/>
    <cellStyle name="Buena 3" xfId="37"/>
    <cellStyle name="Buena 30" xfId="742"/>
    <cellStyle name="Buena 31" xfId="781"/>
    <cellStyle name="Buena 32" xfId="823"/>
    <cellStyle name="Buena 33" xfId="861"/>
    <cellStyle name="Buena 34" xfId="900"/>
    <cellStyle name="Buena 35" xfId="939"/>
    <cellStyle name="Buena 36" xfId="982"/>
    <cellStyle name="Buena 37" xfId="1025"/>
    <cellStyle name="Buena 38" xfId="1066"/>
    <cellStyle name="Buena 39" xfId="1107"/>
    <cellStyle name="Buena 4" xfId="44"/>
    <cellStyle name="Buena 40" xfId="1145"/>
    <cellStyle name="Buena 41" xfId="1184"/>
    <cellStyle name="Buena 42" xfId="1227"/>
    <cellStyle name="Buena 43" xfId="1264"/>
    <cellStyle name="Buena 44" xfId="1297"/>
    <cellStyle name="Buena 45" xfId="1328"/>
    <cellStyle name="Buena 46" xfId="1368"/>
    <cellStyle name="Buena 47" xfId="1424"/>
    <cellStyle name="Buena 48" xfId="1468"/>
    <cellStyle name="Buena 49" xfId="1506"/>
    <cellStyle name="Buena 5" xfId="57"/>
    <cellStyle name="Buena 50" xfId="1511"/>
    <cellStyle name="Buena 6" xfId="70"/>
    <cellStyle name="Buena 7" xfId="83"/>
    <cellStyle name="Buena 8" xfId="96"/>
    <cellStyle name="Buena 9" xfId="109"/>
    <cellStyle name="Celda de comprobación 10" xfId="120"/>
    <cellStyle name="Celda de comprobación 11" xfId="142"/>
    <cellStyle name="Celda de comprobación 12" xfId="155"/>
    <cellStyle name="Celda de comprobación 13" xfId="159"/>
    <cellStyle name="Celda de comprobación 14" xfId="172"/>
    <cellStyle name="Celda de comprobación 15" xfId="185"/>
    <cellStyle name="Celda de comprobación 16" xfId="198"/>
    <cellStyle name="Celda de comprobación 17" xfId="211"/>
    <cellStyle name="Celda de comprobación 18" xfId="224"/>
    <cellStyle name="Celda de comprobación 19" xfId="237"/>
    <cellStyle name="Celda de comprobación 2" xfId="24"/>
    <cellStyle name="Celda de comprobación 20" xfId="250"/>
    <cellStyle name="Celda de comprobación 21" xfId="263"/>
    <cellStyle name="Celda de comprobación 22" xfId="276"/>
    <cellStyle name="Celda de comprobación 23" xfId="289"/>
    <cellStyle name="Celda de comprobación 24" xfId="302"/>
    <cellStyle name="Celda de comprobación 25" xfId="315"/>
    <cellStyle name="Celda de comprobación 26" xfId="359"/>
    <cellStyle name="Celda de comprobación 27" xfId="586"/>
    <cellStyle name="Celda de comprobación 28" xfId="632"/>
    <cellStyle name="Celda de comprobación 29" xfId="675"/>
    <cellStyle name="Celda de comprobación 3" xfId="38"/>
    <cellStyle name="Celda de comprobación 30" xfId="717"/>
    <cellStyle name="Celda de comprobación 31" xfId="758"/>
    <cellStyle name="Celda de comprobación 32" xfId="799"/>
    <cellStyle name="Celda de comprobación 33" xfId="839"/>
    <cellStyle name="Celda de comprobación 34" xfId="877"/>
    <cellStyle name="Celda de comprobación 35" xfId="917"/>
    <cellStyle name="Celda de comprobación 36" xfId="957"/>
    <cellStyle name="Celda de comprobación 37" xfId="1000"/>
    <cellStyle name="Celda de comprobación 38" xfId="1043"/>
    <cellStyle name="Celda de comprobación 39" xfId="1083"/>
    <cellStyle name="Celda de comprobación 4" xfId="42"/>
    <cellStyle name="Celda de comprobación 40" xfId="1122"/>
    <cellStyle name="Celda de comprobación 41" xfId="1160"/>
    <cellStyle name="Celda de comprobación 42" xfId="1202"/>
    <cellStyle name="Celda de comprobación 43" xfId="1243"/>
    <cellStyle name="Celda de comprobación 44" xfId="1281"/>
    <cellStyle name="Celda de comprobación 45" xfId="1309"/>
    <cellStyle name="Celda de comprobación 46" xfId="1349"/>
    <cellStyle name="Celda de comprobación 47" xfId="1402"/>
    <cellStyle name="Celda de comprobación 48" xfId="1446"/>
    <cellStyle name="Celda de comprobación 49" xfId="1482"/>
    <cellStyle name="Celda de comprobación 5" xfId="55"/>
    <cellStyle name="Celda de comprobación 50" xfId="1509"/>
    <cellStyle name="Celda de comprobación 6" xfId="68"/>
    <cellStyle name="Celda de comprobación 7" xfId="81"/>
    <cellStyle name="Celda de comprobación 8" xfId="94"/>
    <cellStyle name="Celda de comprobación 9" xfId="107"/>
    <cellStyle name="Celda vinculada 10" xfId="130"/>
    <cellStyle name="Celda vinculada 11" xfId="143"/>
    <cellStyle name="Celda vinculada 12" xfId="156"/>
    <cellStyle name="Celda vinculada 13" xfId="169"/>
    <cellStyle name="Celda vinculada 14" xfId="182"/>
    <cellStyle name="Celda vinculada 15" xfId="195"/>
    <cellStyle name="Celda vinculada 16" xfId="208"/>
    <cellStyle name="Celda vinculada 17" xfId="221"/>
    <cellStyle name="Celda vinculada 18" xfId="234"/>
    <cellStyle name="Celda vinculada 19" xfId="247"/>
    <cellStyle name="Celda vinculada 2" xfId="25"/>
    <cellStyle name="Celda vinculada 20" xfId="260"/>
    <cellStyle name="Celda vinculada 21" xfId="273"/>
    <cellStyle name="Celda vinculada 22" xfId="286"/>
    <cellStyle name="Celda vinculada 23" xfId="299"/>
    <cellStyle name="Celda vinculada 24" xfId="312"/>
    <cellStyle name="Celda vinculada 25" xfId="325"/>
    <cellStyle name="Celda vinculada 26" xfId="381"/>
    <cellStyle name="Celda vinculada 27" xfId="563"/>
    <cellStyle name="Celda vinculada 28" xfId="341"/>
    <cellStyle name="Celda vinculada 29" xfId="601"/>
    <cellStyle name="Celda vinculada 3" xfId="39"/>
    <cellStyle name="Celda vinculada 30" xfId="647"/>
    <cellStyle name="Celda vinculada 31" xfId="690"/>
    <cellStyle name="Celda vinculada 32" xfId="732"/>
    <cellStyle name="Celda vinculada 33" xfId="773"/>
    <cellStyle name="Celda vinculada 34" xfId="814"/>
    <cellStyle name="Celda vinculada 35" xfId="854"/>
    <cellStyle name="Celda vinculada 36" xfId="892"/>
    <cellStyle name="Celda vinculada 37" xfId="932"/>
    <cellStyle name="Celda vinculada 38" xfId="972"/>
    <cellStyle name="Celda vinculada 39" xfId="1015"/>
    <cellStyle name="Celda vinculada 4" xfId="52"/>
    <cellStyle name="Celda vinculada 40" xfId="1058"/>
    <cellStyle name="Celda vinculada 41" xfId="1098"/>
    <cellStyle name="Celda vinculada 42" xfId="1137"/>
    <cellStyle name="Celda vinculada 43" xfId="1175"/>
    <cellStyle name="Celda vinculada 44" xfId="1216"/>
    <cellStyle name="Celda vinculada 45" xfId="1249"/>
    <cellStyle name="Celda vinculada 46" xfId="1290"/>
    <cellStyle name="Celda vinculada 47" xfId="1376"/>
    <cellStyle name="Celda vinculada 48" xfId="1425"/>
    <cellStyle name="Celda vinculada 49" xfId="1473"/>
    <cellStyle name="Celda vinculada 5" xfId="65"/>
    <cellStyle name="Celda vinculada 50" xfId="1460"/>
    <cellStyle name="Celda vinculada 6" xfId="78"/>
    <cellStyle name="Celda vinculada 7" xfId="91"/>
    <cellStyle name="Celda vinculada 8" xfId="104"/>
    <cellStyle name="Celda vinculada 9" xfId="117"/>
    <cellStyle name="Encabezado 4 10" xfId="131"/>
    <cellStyle name="Encabezado 4 11" xfId="144"/>
    <cellStyle name="Encabezado 4 12" xfId="157"/>
    <cellStyle name="Encabezado 4 13" xfId="170"/>
    <cellStyle name="Encabezado 4 14" xfId="183"/>
    <cellStyle name="Encabezado 4 15" xfId="196"/>
    <cellStyle name="Encabezado 4 16" xfId="209"/>
    <cellStyle name="Encabezado 4 17" xfId="222"/>
    <cellStyle name="Encabezado 4 18" xfId="235"/>
    <cellStyle name="Encabezado 4 19" xfId="248"/>
    <cellStyle name="Encabezado 4 2" xfId="26"/>
    <cellStyle name="Encabezado 4 20" xfId="261"/>
    <cellStyle name="Encabezado 4 21" xfId="274"/>
    <cellStyle name="Encabezado 4 22" xfId="287"/>
    <cellStyle name="Encabezado 4 23" xfId="300"/>
    <cellStyle name="Encabezado 4 24" xfId="313"/>
    <cellStyle name="Encabezado 4 25" xfId="326"/>
    <cellStyle name="Encabezado 4 26" xfId="406"/>
    <cellStyle name="Encabezado 4 27" xfId="537"/>
    <cellStyle name="Encabezado 4 28" xfId="368"/>
    <cellStyle name="Encabezado 4 29" xfId="573"/>
    <cellStyle name="Encabezado 4 3" xfId="40"/>
    <cellStyle name="Encabezado 4 30" xfId="619"/>
    <cellStyle name="Encabezado 4 31" xfId="662"/>
    <cellStyle name="Encabezado 4 32" xfId="704"/>
    <cellStyle name="Encabezado 4 33" xfId="746"/>
    <cellStyle name="Encabezado 4 34" xfId="786"/>
    <cellStyle name="Encabezado 4 35" xfId="827"/>
    <cellStyle name="Encabezado 4 36" xfId="865"/>
    <cellStyle name="Encabezado 4 37" xfId="905"/>
    <cellStyle name="Encabezado 4 38" xfId="944"/>
    <cellStyle name="Encabezado 4 39" xfId="987"/>
    <cellStyle name="Encabezado 4 4" xfId="53"/>
    <cellStyle name="Encabezado 4 40" xfId="1030"/>
    <cellStyle name="Encabezado 4 41" xfId="1071"/>
    <cellStyle name="Encabezado 4 42" xfId="1110"/>
    <cellStyle name="Encabezado 4 43" xfId="1149"/>
    <cellStyle name="Encabezado 4 44" xfId="1188"/>
    <cellStyle name="Encabezado 4 45" xfId="1181"/>
    <cellStyle name="Encabezado 4 46" xfId="1187"/>
    <cellStyle name="Encabezado 4 47" xfId="1245"/>
    <cellStyle name="Encabezado 4 48" xfId="1286"/>
    <cellStyle name="Encabezado 4 49" xfId="1371"/>
    <cellStyle name="Encabezado 4 5" xfId="66"/>
    <cellStyle name="Encabezado 4 50" xfId="1287"/>
    <cellStyle name="Encabezado 4 6" xfId="79"/>
    <cellStyle name="Encabezado 4 7" xfId="92"/>
    <cellStyle name="Encabezado 4 8" xfId="105"/>
    <cellStyle name="Encabezado 4 9" xfId="118"/>
    <cellStyle name="Entrada 10" xfId="132"/>
    <cellStyle name="Entrada 11" xfId="145"/>
    <cellStyle name="Entrada 12" xfId="158"/>
    <cellStyle name="Entrada 13" xfId="171"/>
    <cellStyle name="Entrada 14" xfId="184"/>
    <cellStyle name="Entrada 15" xfId="197"/>
    <cellStyle name="Entrada 16" xfId="210"/>
    <cellStyle name="Entrada 17" xfId="223"/>
    <cellStyle name="Entrada 18" xfId="236"/>
    <cellStyle name="Entrada 19" xfId="249"/>
    <cellStyle name="Entrada 2" xfId="27"/>
    <cellStyle name="Entrada 20" xfId="262"/>
    <cellStyle name="Entrada 21" xfId="275"/>
    <cellStyle name="Entrada 22" xfId="288"/>
    <cellStyle name="Entrada 23" xfId="301"/>
    <cellStyle name="Entrada 24" xfId="314"/>
    <cellStyle name="Entrada 25" xfId="327"/>
    <cellStyle name="Entrada 26" xfId="425"/>
    <cellStyle name="Entrada 27" xfId="489"/>
    <cellStyle name="Entrada 28" xfId="416"/>
    <cellStyle name="Entrada 29" xfId="496"/>
    <cellStyle name="Entrada 3" xfId="41"/>
    <cellStyle name="Entrada 30" xfId="409"/>
    <cellStyle name="Entrada 31" xfId="503"/>
    <cellStyle name="Entrada 32" xfId="402"/>
    <cellStyle name="Entrada 33" xfId="533"/>
    <cellStyle name="Entrada 34" xfId="369"/>
    <cellStyle name="Entrada 35" xfId="572"/>
    <cellStyle name="Entrada 36" xfId="618"/>
    <cellStyle name="Entrada 37" xfId="661"/>
    <cellStyle name="Entrada 38" xfId="703"/>
    <cellStyle name="Entrada 39" xfId="745"/>
    <cellStyle name="Entrada 4" xfId="54"/>
    <cellStyle name="Entrada 40" xfId="785"/>
    <cellStyle name="Entrada 41" xfId="826"/>
    <cellStyle name="Entrada 42" xfId="864"/>
    <cellStyle name="Entrada 43" xfId="904"/>
    <cellStyle name="Entrada 44" xfId="942"/>
    <cellStyle name="Entrada 45" xfId="936"/>
    <cellStyle name="Entrada 46" xfId="893"/>
    <cellStyle name="Entrada 47" xfId="1103"/>
    <cellStyle name="Entrada 48" xfId="897"/>
    <cellStyle name="Entrada 49" xfId="1148"/>
    <cellStyle name="Entrada 5" xfId="67"/>
    <cellStyle name="Entrada 50" xfId="403"/>
    <cellStyle name="Entrada 6" xfId="80"/>
    <cellStyle name="Entrada 7" xfId="93"/>
    <cellStyle name="Entrada 8" xfId="106"/>
    <cellStyle name="Entrada 9" xfId="119"/>
    <cellStyle name="Euro" xfId="1532"/>
    <cellStyle name="Euro 2" xfId="1593"/>
    <cellStyle name="Euro 2 2" xfId="1594"/>
    <cellStyle name="Euro 3" xfId="1595"/>
    <cellStyle name="Euro 3 2" xfId="1596"/>
    <cellStyle name="Euro 4" xfId="1597"/>
    <cellStyle name="Euro 4 2" xfId="1598"/>
    <cellStyle name="Euro 5" xfId="1599"/>
    <cellStyle name="Euro 5 2" xfId="1600"/>
    <cellStyle name="Euro 6" xfId="1601"/>
    <cellStyle name="Euro 6 2" xfId="1602"/>
    <cellStyle name="Euro 7" xfId="1603"/>
    <cellStyle name="Euro 7 2" xfId="1604"/>
    <cellStyle name="Excel Built-in Normal" xfId="1605"/>
    <cellStyle name="Millares" xfId="1" builtinId="3"/>
    <cellStyle name="Millares 10" xfId="1533"/>
    <cellStyle name="Millares 11" xfId="1534"/>
    <cellStyle name="Millares 12" xfId="1535"/>
    <cellStyle name="Millares 16" xfId="1536"/>
    <cellStyle name="Millares 18" xfId="1537"/>
    <cellStyle name="Millares 19" xfId="1538"/>
    <cellStyle name="Millares 2" xfId="1527"/>
    <cellStyle name="Millares 2 10" xfId="56"/>
    <cellStyle name="Millares 2 11" xfId="69"/>
    <cellStyle name="Millares 2 12" xfId="82"/>
    <cellStyle name="Millares 2 13" xfId="95"/>
    <cellStyle name="Millares 2 14" xfId="108"/>
    <cellStyle name="Millares 2 15" xfId="121"/>
    <cellStyle name="Millares 2 16" xfId="133"/>
    <cellStyle name="Millares 2 17" xfId="146"/>
    <cellStyle name="Millares 2 18" xfId="160"/>
    <cellStyle name="Millares 2 19" xfId="173"/>
    <cellStyle name="Millares 2 2" xfId="4"/>
    <cellStyle name="Millares 2 2 2" xfId="1539"/>
    <cellStyle name="Millares 2 2 3" xfId="1540"/>
    <cellStyle name="Millares 2 2 4" xfId="1541"/>
    <cellStyle name="Millares 2 20" xfId="186"/>
    <cellStyle name="Millares 2 21" xfId="199"/>
    <cellStyle name="Millares 2 22" xfId="212"/>
    <cellStyle name="Millares 2 23" xfId="225"/>
    <cellStyle name="Millares 2 24" xfId="238"/>
    <cellStyle name="Millares 2 25" xfId="251"/>
    <cellStyle name="Millares 2 26" xfId="264"/>
    <cellStyle name="Millares 2 27" xfId="277"/>
    <cellStyle name="Millares 2 28" xfId="290"/>
    <cellStyle name="Millares 2 29" xfId="303"/>
    <cellStyle name="Millares 2 3" xfId="7"/>
    <cellStyle name="Millares 2 30" xfId="316"/>
    <cellStyle name="Millares 2 31" xfId="328"/>
    <cellStyle name="Millares 2 32" xfId="438"/>
    <cellStyle name="Millares 2 33" xfId="468"/>
    <cellStyle name="Millares 2 34" xfId="435"/>
    <cellStyle name="Millares 2 35" xfId="469"/>
    <cellStyle name="Millares 2 36" xfId="433"/>
    <cellStyle name="Millares 2 37" xfId="470"/>
    <cellStyle name="Millares 2 38" xfId="432"/>
    <cellStyle name="Millares 2 39" xfId="472"/>
    <cellStyle name="Millares 2 4" xfId="10"/>
    <cellStyle name="Millares 2 40" xfId="430"/>
    <cellStyle name="Millares 2 41" xfId="476"/>
    <cellStyle name="Millares 2 42" xfId="428"/>
    <cellStyle name="Millares 2 43" xfId="479"/>
    <cellStyle name="Millares 2 44" xfId="426"/>
    <cellStyle name="Millares 2 45" xfId="484"/>
    <cellStyle name="Millares 2 46" xfId="420"/>
    <cellStyle name="Millares 2 47" xfId="491"/>
    <cellStyle name="Millares 2 48" xfId="414"/>
    <cellStyle name="Millares 2 49" xfId="498"/>
    <cellStyle name="Millares 2 5" xfId="13"/>
    <cellStyle name="Millares 2 50" xfId="410"/>
    <cellStyle name="Millares 2 51" xfId="477"/>
    <cellStyle name="Millares 2 52" xfId="442"/>
    <cellStyle name="Millares 2 53" xfId="474"/>
    <cellStyle name="Millares 2 54" xfId="455"/>
    <cellStyle name="Millares 2 55" xfId="471"/>
    <cellStyle name="Millares 2 56" xfId="467"/>
    <cellStyle name="Millares 2 57" xfId="1531"/>
    <cellStyle name="Millares 2 57 2" xfId="3118"/>
    <cellStyle name="Millares 2 6" xfId="16"/>
    <cellStyle name="Millares 2 7" xfId="19"/>
    <cellStyle name="Millares 2 8" xfId="28"/>
    <cellStyle name="Millares 2 9" xfId="43"/>
    <cellStyle name="Millares 22" xfId="1542"/>
    <cellStyle name="Millares 23" xfId="1543"/>
    <cellStyle name="Millares 24" xfId="1544"/>
    <cellStyle name="Millares 3" xfId="29"/>
    <cellStyle name="Millares 3 10" xfId="1545"/>
    <cellStyle name="Millares 3 11" xfId="1546"/>
    <cellStyle name="Millares 3 12" xfId="1547"/>
    <cellStyle name="Millares 3 13" xfId="1548"/>
    <cellStyle name="Millares 3 14" xfId="1549"/>
    <cellStyle name="Millares 3 15" xfId="1550"/>
    <cellStyle name="Millares 3 16" xfId="1551"/>
    <cellStyle name="Millares 3 17" xfId="1552"/>
    <cellStyle name="Millares 3 18" xfId="1553"/>
    <cellStyle name="Millares 3 19" xfId="1554"/>
    <cellStyle name="Millares 3 2" xfId="458"/>
    <cellStyle name="Millares 3 2 2" xfId="444"/>
    <cellStyle name="Millares 3 2 3" xfId="495"/>
    <cellStyle name="Millares 3 2 4" xfId="440"/>
    <cellStyle name="Millares 3 2 5" xfId="660"/>
    <cellStyle name="Millares 3 2 6" xfId="436"/>
    <cellStyle name="Millares 3 2 7" xfId="1104"/>
    <cellStyle name="Millares 3 2 8" xfId="1606"/>
    <cellStyle name="Millares 3 20" xfId="1555"/>
    <cellStyle name="Millares 3 21" xfId="1556"/>
    <cellStyle name="Millares 3 22" xfId="1557"/>
    <cellStyle name="Millares 3 23" xfId="1558"/>
    <cellStyle name="Millares 3 24" xfId="1559"/>
    <cellStyle name="Millares 3 25" xfId="1560"/>
    <cellStyle name="Millares 3 26" xfId="1561"/>
    <cellStyle name="Millares 3 3" xfId="445"/>
    <cellStyle name="Millares 3 4" xfId="488"/>
    <cellStyle name="Millares 3 5" xfId="441"/>
    <cellStyle name="Millares 3 6" xfId="605"/>
    <cellStyle name="Millares 3 7" xfId="437"/>
    <cellStyle name="Millares 3 8" xfId="1099"/>
    <cellStyle name="Millares 3 9" xfId="1562"/>
    <cellStyle name="Millares 4" xfId="1592"/>
    <cellStyle name="Millares 4 10" xfId="1563"/>
    <cellStyle name="Millares 4 11" xfId="1564"/>
    <cellStyle name="Millares 4 12" xfId="1565"/>
    <cellStyle name="Millares 4 13" xfId="1566"/>
    <cellStyle name="Millares 4 14" xfId="1567"/>
    <cellStyle name="Millares 4 15" xfId="1568"/>
    <cellStyle name="Millares 4 16" xfId="1569"/>
    <cellStyle name="Millares 4 17" xfId="1570"/>
    <cellStyle name="Millares 4 2" xfId="1571"/>
    <cellStyle name="Millares 4 3" xfId="1572"/>
    <cellStyle name="Millares 4 4" xfId="1573"/>
    <cellStyle name="Millares 4 5" xfId="1574"/>
    <cellStyle name="Millares 4 6" xfId="1575"/>
    <cellStyle name="Millares 4 7" xfId="1576"/>
    <cellStyle name="Millares 4 8" xfId="1577"/>
    <cellStyle name="Millares 4 9" xfId="1578"/>
    <cellStyle name="Millares 5" xfId="3771"/>
    <cellStyle name="Millares 50" xfId="3775"/>
    <cellStyle name="Millares 6" xfId="1579"/>
    <cellStyle name="Millares 7" xfId="1580"/>
    <cellStyle name="Millares 8" xfId="1581"/>
    <cellStyle name="Millares 9" xfId="1582"/>
    <cellStyle name="Moneda" xfId="3769" builtinId="4"/>
    <cellStyle name="Neutral 10" xfId="134"/>
    <cellStyle name="Neutral 11" xfId="148"/>
    <cellStyle name="Neutral 12" xfId="162"/>
    <cellStyle name="Neutral 13" xfId="175"/>
    <cellStyle name="Neutral 14" xfId="188"/>
    <cellStyle name="Neutral 15" xfId="201"/>
    <cellStyle name="Neutral 16" xfId="214"/>
    <cellStyle name="Neutral 17" xfId="227"/>
    <cellStyle name="Neutral 18" xfId="240"/>
    <cellStyle name="Neutral 19" xfId="253"/>
    <cellStyle name="Neutral 2" xfId="30"/>
    <cellStyle name="Neutral 2 2" xfId="1583"/>
    <cellStyle name="Neutral 2 3" xfId="1584"/>
    <cellStyle name="Neutral 2 4" xfId="1585"/>
    <cellStyle name="Neutral 20" xfId="266"/>
    <cellStyle name="Neutral 21" xfId="279"/>
    <cellStyle name="Neutral 22" xfId="292"/>
    <cellStyle name="Neutral 23" xfId="305"/>
    <cellStyle name="Neutral 24" xfId="318"/>
    <cellStyle name="Neutral 25" xfId="329"/>
    <cellStyle name="Neutral 26" xfId="459"/>
    <cellStyle name="Neutral 27" xfId="454"/>
    <cellStyle name="Neutral 28" xfId="456"/>
    <cellStyle name="Neutral 29" xfId="453"/>
    <cellStyle name="Neutral 3" xfId="45"/>
    <cellStyle name="Neutral 30" xfId="457"/>
    <cellStyle name="Neutral 31" xfId="452"/>
    <cellStyle name="Neutral 32" xfId="460"/>
    <cellStyle name="Neutral 33" xfId="451"/>
    <cellStyle name="Neutral 34" xfId="461"/>
    <cellStyle name="Neutral 35" xfId="450"/>
    <cellStyle name="Neutral 36" xfId="462"/>
    <cellStyle name="Neutral 37" xfId="449"/>
    <cellStyle name="Neutral 38" xfId="463"/>
    <cellStyle name="Neutral 39" xfId="448"/>
    <cellStyle name="Neutral 4" xfId="58"/>
    <cellStyle name="Neutral 40" xfId="464"/>
    <cellStyle name="Neutral 41" xfId="447"/>
    <cellStyle name="Neutral 42" xfId="465"/>
    <cellStyle name="Neutral 43" xfId="446"/>
    <cellStyle name="Neutral 44" xfId="466"/>
    <cellStyle name="Neutral 45" xfId="443"/>
    <cellStyle name="Neutral 46" xfId="502"/>
    <cellStyle name="Neutral 47" xfId="439"/>
    <cellStyle name="Neutral 48" xfId="663"/>
    <cellStyle name="Neutral 49" xfId="434"/>
    <cellStyle name="Neutral 5" xfId="71"/>
    <cellStyle name="Neutral 50" xfId="1105"/>
    <cellStyle name="Neutral 6" xfId="84"/>
    <cellStyle name="Neutral 7" xfId="97"/>
    <cellStyle name="Neutral 8" xfId="110"/>
    <cellStyle name="Neutral 9" xfId="123"/>
    <cellStyle name="Normal" xfId="0" builtinId="0"/>
    <cellStyle name="Normal 10" xfId="113"/>
    <cellStyle name="Normal 10 2" xfId="337"/>
    <cellStyle name="Normal 10 3" xfId="937"/>
    <cellStyle name="Normal 10 4" xfId="898"/>
    <cellStyle name="Normal 10 5" xfId="1231"/>
    <cellStyle name="Normal 10 6" xfId="1141"/>
    <cellStyle name="Normal 10 7" xfId="1369"/>
    <cellStyle name="Normal 10 8" xfId="1607"/>
    <cellStyle name="Normal 100" xfId="1608"/>
    <cellStyle name="Normal 101" xfId="1609"/>
    <cellStyle name="Normal 102" xfId="1610"/>
    <cellStyle name="Normal 103" xfId="1611"/>
    <cellStyle name="Normal 104" xfId="1612"/>
    <cellStyle name="Normal 105" xfId="1613"/>
    <cellStyle name="Normal 106" xfId="1614"/>
    <cellStyle name="Normal 107" xfId="1615"/>
    <cellStyle name="Normal 108" xfId="1616"/>
    <cellStyle name="Normal 109" xfId="1617"/>
    <cellStyle name="Normal 11" xfId="126"/>
    <cellStyle name="Normal 11 2" xfId="617"/>
    <cellStyle name="Normal 11 3" xfId="985"/>
    <cellStyle name="Normal 11 4" xfId="943"/>
    <cellStyle name="Normal 11 5" xfId="1232"/>
    <cellStyle name="Normal 11 6" xfId="1142"/>
    <cellStyle name="Normal 11 7" xfId="1370"/>
    <cellStyle name="Normal 11 8" xfId="1618"/>
    <cellStyle name="Normal 110" xfId="1619"/>
    <cellStyle name="Normal 111" xfId="1620"/>
    <cellStyle name="Normal 112" xfId="1621"/>
    <cellStyle name="Normal 113" xfId="1622"/>
    <cellStyle name="Normal 114" xfId="1623"/>
    <cellStyle name="Normal 115" xfId="1624"/>
    <cellStyle name="Normal 116" xfId="1625"/>
    <cellStyle name="Normal 117" xfId="1626"/>
    <cellStyle name="Normal 118" xfId="1627"/>
    <cellStyle name="Normal 119" xfId="1628"/>
    <cellStyle name="Normal 12" xfId="140"/>
    <cellStyle name="Normal 12 2" xfId="648"/>
    <cellStyle name="Normal 12 3" xfId="986"/>
    <cellStyle name="Normal 12 4" xfId="945"/>
    <cellStyle name="Normal 12 5" xfId="1233"/>
    <cellStyle name="Normal 12 6" xfId="1143"/>
    <cellStyle name="Normal 12 7" xfId="1372"/>
    <cellStyle name="Normal 12 8" xfId="1629"/>
    <cellStyle name="Normal 120" xfId="1630"/>
    <cellStyle name="Normal 121" xfId="1631"/>
    <cellStyle name="Normal 122" xfId="1632"/>
    <cellStyle name="Normal 123" xfId="1633"/>
    <cellStyle name="Normal 124" xfId="1634"/>
    <cellStyle name="Normal 125" xfId="1635"/>
    <cellStyle name="Normal 126" xfId="1636"/>
    <cellStyle name="Normal 127" xfId="1637"/>
    <cellStyle name="Normal 128" xfId="1638"/>
    <cellStyle name="Normal 129" xfId="1639"/>
    <cellStyle name="Normal 13" xfId="147"/>
    <cellStyle name="Normal 13 2" xfId="652"/>
    <cellStyle name="Normal 13 3" xfId="988"/>
    <cellStyle name="Normal 13 4" xfId="979"/>
    <cellStyle name="Normal 13 5" xfId="1234"/>
    <cellStyle name="Normal 13 6" xfId="1267"/>
    <cellStyle name="Normal 13 7" xfId="1373"/>
    <cellStyle name="Normal 13 8" xfId="1640"/>
    <cellStyle name="Normal 130" xfId="1641"/>
    <cellStyle name="Normal 131" xfId="1642"/>
    <cellStyle name="Normal 132" xfId="1643"/>
    <cellStyle name="Normal 133" xfId="1644"/>
    <cellStyle name="Normal 134" xfId="1645"/>
    <cellStyle name="Normal 135" xfId="1646"/>
    <cellStyle name="Normal 136" xfId="1647"/>
    <cellStyle name="Normal 137" xfId="1648"/>
    <cellStyle name="Normal 138" xfId="1649"/>
    <cellStyle name="Normal 139" xfId="1650"/>
    <cellStyle name="Normal 14" xfId="165"/>
    <cellStyle name="Normal 14 2" xfId="702"/>
    <cellStyle name="Normal 14 3" xfId="1016"/>
    <cellStyle name="Normal 14 4" xfId="980"/>
    <cellStyle name="Normal 14 5" xfId="1235"/>
    <cellStyle name="Normal 14 6" xfId="1268"/>
    <cellStyle name="Normal 14 7" xfId="1374"/>
    <cellStyle name="Normal 14 8" xfId="1651"/>
    <cellStyle name="Normal 140" xfId="1652"/>
    <cellStyle name="Normal 141" xfId="1653"/>
    <cellStyle name="Normal 142" xfId="1654"/>
    <cellStyle name="Normal 143" xfId="1655"/>
    <cellStyle name="Normal 144" xfId="1656"/>
    <cellStyle name="Normal 145" xfId="1657"/>
    <cellStyle name="Normal 146" xfId="1658"/>
    <cellStyle name="Normal 147" xfId="1659"/>
    <cellStyle name="Normal 148" xfId="1660"/>
    <cellStyle name="Normal 149" xfId="1661"/>
    <cellStyle name="Normal 15" xfId="178"/>
    <cellStyle name="Normal 15 2" xfId="705"/>
    <cellStyle name="Normal 15 3" xfId="1020"/>
    <cellStyle name="Normal 15 4" xfId="1028"/>
    <cellStyle name="Normal 15 5" xfId="1236"/>
    <cellStyle name="Normal 15 6" xfId="1269"/>
    <cellStyle name="Normal 15 7" xfId="1375"/>
    <cellStyle name="Normal 15 8" xfId="1662"/>
    <cellStyle name="Normal 150" xfId="3770"/>
    <cellStyle name="Normal 16" xfId="191"/>
    <cellStyle name="Normal 16 2" xfId="733"/>
    <cellStyle name="Normal 16 3" xfId="1021"/>
    <cellStyle name="Normal 16 4" xfId="1029"/>
    <cellStyle name="Normal 16 5" xfId="1237"/>
    <cellStyle name="Normal 16 6" xfId="1278"/>
    <cellStyle name="Normal 16 7" xfId="1377"/>
    <cellStyle name="Normal 16 8" xfId="1663"/>
    <cellStyle name="Normal 17" xfId="204"/>
    <cellStyle name="Normal 17 2" xfId="737"/>
    <cellStyle name="Normal 17 2 2" xfId="1664"/>
    <cellStyle name="Normal 17 3" xfId="1022"/>
    <cellStyle name="Normal 17 4" xfId="1031"/>
    <cellStyle name="Normal 17 5" xfId="1239"/>
    <cellStyle name="Normal 17 6" xfId="1280"/>
    <cellStyle name="Normal 17 7" xfId="1378"/>
    <cellStyle name="Normal 17 8" xfId="1665"/>
    <cellStyle name="Normal 17 9" xfId="1666"/>
    <cellStyle name="Normal 18" xfId="217"/>
    <cellStyle name="Normal 18 2" xfId="784"/>
    <cellStyle name="Normal 18 3" xfId="1023"/>
    <cellStyle name="Normal 18 4" xfId="1059"/>
    <cellStyle name="Normal 18 5" xfId="1240"/>
    <cellStyle name="Normal 18 6" xfId="1282"/>
    <cellStyle name="Normal 18 7" xfId="1379"/>
    <cellStyle name="Normal 18 8" xfId="1667"/>
    <cellStyle name="Normal 19" xfId="230"/>
    <cellStyle name="Normal 19 2" xfId="787"/>
    <cellStyle name="Normal 19 3" xfId="1069"/>
    <cellStyle name="Normal 19 4" xfId="1063"/>
    <cellStyle name="Normal 19 5" xfId="1241"/>
    <cellStyle name="Normal 19 6" xfId="1283"/>
    <cellStyle name="Normal 19 7" xfId="1399"/>
    <cellStyle name="Normal 19 8" xfId="1668"/>
    <cellStyle name="Normal 2" xfId="2"/>
    <cellStyle name="Normal 2 10" xfId="59"/>
    <cellStyle name="Normal 2 11" xfId="72"/>
    <cellStyle name="Normal 2 12" xfId="85"/>
    <cellStyle name="Normal 2 13" xfId="98"/>
    <cellStyle name="Normal 2 14" xfId="111"/>
    <cellStyle name="Normal 2 15" xfId="124"/>
    <cellStyle name="Normal 2 16" xfId="135"/>
    <cellStyle name="Normal 2 17" xfId="149"/>
    <cellStyle name="Normal 2 18" xfId="163"/>
    <cellStyle name="Normal 2 19" xfId="176"/>
    <cellStyle name="Normal 2 2" xfId="5"/>
    <cellStyle name="Normal 2 2 10" xfId="528"/>
    <cellStyle name="Normal 2 2 11" xfId="374"/>
    <cellStyle name="Normal 2 2 12" xfId="567"/>
    <cellStyle name="Normal 2 2 13" xfId="612"/>
    <cellStyle name="Normal 2 2 14" xfId="606"/>
    <cellStyle name="Normal 2 2 15" xfId="653"/>
    <cellStyle name="Normal 2 2 16" xfId="695"/>
    <cellStyle name="Normal 2 2 17" xfId="738"/>
    <cellStyle name="Normal 2 2 18" xfId="777"/>
    <cellStyle name="Normal 2 2 19" xfId="819"/>
    <cellStyle name="Normal 2 2 2" xfId="481"/>
    <cellStyle name="Normal 2 2 2 10" xfId="531"/>
    <cellStyle name="Normal 2 2 2 11" xfId="373"/>
    <cellStyle name="Normal 2 2 2 12" xfId="568"/>
    <cellStyle name="Normal 2 2 2 13" xfId="613"/>
    <cellStyle name="Normal 2 2 2 14" xfId="607"/>
    <cellStyle name="Normal 2 2 2 15" xfId="654"/>
    <cellStyle name="Normal 2 2 2 16" xfId="696"/>
    <cellStyle name="Normal 2 2 2 17" xfId="739"/>
    <cellStyle name="Normal 2 2 2 18" xfId="778"/>
    <cellStyle name="Normal 2 2 2 19" xfId="820"/>
    <cellStyle name="Normal 2 2 2 2" xfId="482"/>
    <cellStyle name="Normal 2 2 2 2 10" xfId="532"/>
    <cellStyle name="Normal 2 2 2 2 11" xfId="372"/>
    <cellStyle name="Normal 2 2 2 2 12" xfId="569"/>
    <cellStyle name="Normal 2 2 2 2 13" xfId="614"/>
    <cellStyle name="Normal 2 2 2 2 14" xfId="608"/>
    <cellStyle name="Normal 2 2 2 2 15" xfId="655"/>
    <cellStyle name="Normal 2 2 2 2 16" xfId="697"/>
    <cellStyle name="Normal 2 2 2 2 17" xfId="740"/>
    <cellStyle name="Normal 2 2 2 2 18" xfId="779"/>
    <cellStyle name="Normal 2 2 2 2 19" xfId="821"/>
    <cellStyle name="Normal 2 2 2 2 2" xfId="483"/>
    <cellStyle name="Normal 2 2 2 2 20" xfId="903"/>
    <cellStyle name="Normal 2 2 2 2 21" xfId="978"/>
    <cellStyle name="Normal 2 2 2 2 22" xfId="1183"/>
    <cellStyle name="Normal 2 2 2 2 23" xfId="1266"/>
    <cellStyle name="Normal 2 2 2 2 24" xfId="1326"/>
    <cellStyle name="Normal 2 2 2 2 25" xfId="1358"/>
    <cellStyle name="Normal 2 2 2 2 26" xfId="1472"/>
    <cellStyle name="Normal 2 2 2 2 3" xfId="422"/>
    <cellStyle name="Normal 2 2 2 2 4" xfId="487"/>
    <cellStyle name="Normal 2 2 2 2 5" xfId="417"/>
    <cellStyle name="Normal 2 2 2 2 6" xfId="494"/>
    <cellStyle name="Normal 2 2 2 2 7" xfId="411"/>
    <cellStyle name="Normal 2 2 2 2 8" xfId="501"/>
    <cellStyle name="Normal 2 2 2 2 9" xfId="404"/>
    <cellStyle name="Normal 2 2 2 20" xfId="859"/>
    <cellStyle name="Normal 2 2 2 21" xfId="977"/>
    <cellStyle name="Normal 2 2 2 22" xfId="1182"/>
    <cellStyle name="Normal 2 2 2 23" xfId="1224"/>
    <cellStyle name="Normal 2 2 2 24" xfId="1317"/>
    <cellStyle name="Normal 2 2 2 25" xfId="1354"/>
    <cellStyle name="Normal 2 2 2 26" xfId="1471"/>
    <cellStyle name="Normal 2 2 2 3" xfId="423"/>
    <cellStyle name="Normal 2 2 2 4" xfId="486"/>
    <cellStyle name="Normal 2 2 2 5" xfId="418"/>
    <cellStyle name="Normal 2 2 2 6" xfId="493"/>
    <cellStyle name="Normal 2 2 2 7" xfId="412"/>
    <cellStyle name="Normal 2 2 2 8" xfId="500"/>
    <cellStyle name="Normal 2 2 2 9" xfId="405"/>
    <cellStyle name="Normal 2 2 20" xfId="858"/>
    <cellStyle name="Normal 2 2 21" xfId="973"/>
    <cellStyle name="Normal 2 2 22" xfId="1177"/>
    <cellStyle name="Normal 2 2 23" xfId="1210"/>
    <cellStyle name="Normal 2 2 24" xfId="1316"/>
    <cellStyle name="Normal 2 2 25" xfId="1341"/>
    <cellStyle name="Normal 2 2 26" xfId="1470"/>
    <cellStyle name="Normal 2 2 27" xfId="1669"/>
    <cellStyle name="Normal 2 2 3" xfId="424"/>
    <cellStyle name="Normal 2 2 4" xfId="485"/>
    <cellStyle name="Normal 2 2 5" xfId="419"/>
    <cellStyle name="Normal 2 2 6" xfId="492"/>
    <cellStyle name="Normal 2 2 7" xfId="413"/>
    <cellStyle name="Normal 2 2 8" xfId="499"/>
    <cellStyle name="Normal 2 2 9" xfId="407"/>
    <cellStyle name="Normal 2 20" xfId="189"/>
    <cellStyle name="Normal 2 21" xfId="202"/>
    <cellStyle name="Normal 2 22" xfId="215"/>
    <cellStyle name="Normal 2 23" xfId="228"/>
    <cellStyle name="Normal 2 24" xfId="241"/>
    <cellStyle name="Normal 2 25" xfId="254"/>
    <cellStyle name="Normal 2 26" xfId="267"/>
    <cellStyle name="Normal 2 27" xfId="280"/>
    <cellStyle name="Normal 2 28" xfId="293"/>
    <cellStyle name="Normal 2 29" xfId="306"/>
    <cellStyle name="Normal 2 3" xfId="8"/>
    <cellStyle name="Normal 2 3 2" xfId="1670"/>
    <cellStyle name="Normal 2 30" xfId="319"/>
    <cellStyle name="Normal 2 31" xfId="330"/>
    <cellStyle name="Normal 2 32" xfId="473"/>
    <cellStyle name="Normal 2 33" xfId="431"/>
    <cellStyle name="Normal 2 34" xfId="475"/>
    <cellStyle name="Normal 2 35" xfId="429"/>
    <cellStyle name="Normal 2 36" xfId="478"/>
    <cellStyle name="Normal 2 37" xfId="427"/>
    <cellStyle name="Normal 2 38" xfId="480"/>
    <cellStyle name="Normal 2 39" xfId="421"/>
    <cellStyle name="Normal 2 4" xfId="11"/>
    <cellStyle name="Normal 2 4 2" xfId="1671"/>
    <cellStyle name="Normal 2 40" xfId="490"/>
    <cellStyle name="Normal 2 41" xfId="415"/>
    <cellStyle name="Normal 2 42" xfId="497"/>
    <cellStyle name="Normal 2 43" xfId="408"/>
    <cellStyle name="Normal 2 44" xfId="504"/>
    <cellStyle name="Normal 2 45" xfId="401"/>
    <cellStyle name="Normal 2 46" xfId="538"/>
    <cellStyle name="Normal 2 47" xfId="367"/>
    <cellStyle name="Normal 2 48" xfId="574"/>
    <cellStyle name="Normal 2 49" xfId="620"/>
    <cellStyle name="Normal 2 5" xfId="14"/>
    <cellStyle name="Normal 2 5 2" xfId="1672"/>
    <cellStyle name="Normal 2 50" xfId="691"/>
    <cellStyle name="Normal 2 51" xfId="815"/>
    <cellStyle name="Normal 2 52" xfId="1070"/>
    <cellStyle name="Normal 2 53" xfId="1064"/>
    <cellStyle name="Normal 2 54" xfId="1242"/>
    <cellStyle name="Normal 2 55" xfId="1284"/>
    <cellStyle name="Normal 2 56" xfId="1413"/>
    <cellStyle name="Normal 2 6" xfId="17"/>
    <cellStyle name="Normal 2 6 2" xfId="1673"/>
    <cellStyle name="Normal 2 7" xfId="20"/>
    <cellStyle name="Normal 2 8" xfId="31"/>
    <cellStyle name="Normal 2 9" xfId="46"/>
    <cellStyle name="Normal 2_F08 Quito Nueva Regulación II Jun-08" xfId="1674"/>
    <cellStyle name="Normal 20" xfId="243"/>
    <cellStyle name="Normal 20 2" xfId="1189"/>
    <cellStyle name="Normal 20 3" xfId="1246"/>
    <cellStyle name="Normal 20 4" xfId="1288"/>
    <cellStyle name="Normal 20 5" xfId="1380"/>
    <cellStyle name="Normal 20 6" xfId="1426"/>
    <cellStyle name="Normal 20 7" xfId="1475"/>
    <cellStyle name="Normal 20 8" xfId="1675"/>
    <cellStyle name="Normal 21" xfId="256"/>
    <cellStyle name="Normal 21 2" xfId="1190"/>
    <cellStyle name="Normal 21 3" xfId="1247"/>
    <cellStyle name="Normal 21 4" xfId="1289"/>
    <cellStyle name="Normal 21 5" xfId="1381"/>
    <cellStyle name="Normal 21 6" xfId="1427"/>
    <cellStyle name="Normal 21 7" xfId="1476"/>
    <cellStyle name="Normal 21 8" xfId="1676"/>
    <cellStyle name="Normal 22" xfId="269"/>
    <cellStyle name="Normal 22 2" xfId="1191"/>
    <cellStyle name="Normal 22 3" xfId="1248"/>
    <cellStyle name="Normal 22 4" xfId="1291"/>
    <cellStyle name="Normal 22 5" xfId="1382"/>
    <cellStyle name="Normal 22 6" xfId="1428"/>
    <cellStyle name="Normal 22 7" xfId="1477"/>
    <cellStyle name="Normal 22 8" xfId="1677"/>
    <cellStyle name="Normal 23" xfId="282"/>
    <cellStyle name="Normal 23 2" xfId="1192"/>
    <cellStyle name="Normal 23 3" xfId="1250"/>
    <cellStyle name="Normal 23 4" xfId="1292"/>
    <cellStyle name="Normal 23 5" xfId="1383"/>
    <cellStyle name="Normal 23 6" xfId="1429"/>
    <cellStyle name="Normal 23 7" xfId="1478"/>
    <cellStyle name="Normal 23 8" xfId="1678"/>
    <cellStyle name="Normal 24" xfId="295"/>
    <cellStyle name="Normal 24 2" xfId="1193"/>
    <cellStyle name="Normal 24 3" xfId="1251"/>
    <cellStyle name="Normal 24 4" xfId="1293"/>
    <cellStyle name="Normal 24 5" xfId="1385"/>
    <cellStyle name="Normal 24 6" xfId="1430"/>
    <cellStyle name="Normal 24 7" xfId="1479"/>
    <cellStyle name="Normal 24 8" xfId="1679"/>
    <cellStyle name="Normal 25" xfId="308"/>
    <cellStyle name="Normal 25 2" xfId="1195"/>
    <cellStyle name="Normal 25 3" xfId="1252"/>
    <cellStyle name="Normal 25 4" xfId="1294"/>
    <cellStyle name="Normal 25 5" xfId="1386"/>
    <cellStyle name="Normal 25 6" xfId="1431"/>
    <cellStyle name="Normal 25 7" xfId="1480"/>
    <cellStyle name="Normal 25 8" xfId="1680"/>
    <cellStyle name="Normal 26" xfId="321"/>
    <cellStyle name="Normal 26 2" xfId="1196"/>
    <cellStyle name="Normal 26 3" xfId="1253"/>
    <cellStyle name="Normal 26 4" xfId="1295"/>
    <cellStyle name="Normal 26 5" xfId="1387"/>
    <cellStyle name="Normal 26 6" xfId="1432"/>
    <cellStyle name="Normal 26 7" xfId="1481"/>
    <cellStyle name="Normal 26 8" xfId="1681"/>
    <cellStyle name="Normal 27" xfId="335"/>
    <cellStyle name="Normal 27 2" xfId="1529"/>
    <cellStyle name="Normal 27 2 2" xfId="1682"/>
    <cellStyle name="Normal 28" xfId="611"/>
    <cellStyle name="Normal 28 2" xfId="1683"/>
    <cellStyle name="Normal 28 2 2" xfId="1684"/>
    <cellStyle name="Normal 29" xfId="658"/>
    <cellStyle name="Normal 29 2" xfId="1685"/>
    <cellStyle name="Normal 29 2 2" xfId="1686"/>
    <cellStyle name="Normal 3" xfId="22"/>
    <cellStyle name="Normal 3 10" xfId="60"/>
    <cellStyle name="Normal 3 10 10" xfId="748"/>
    <cellStyle name="Normal 3 10 10 2" xfId="1687"/>
    <cellStyle name="Normal 3 10 10 2 2" xfId="3120"/>
    <cellStyle name="Normal 3 10 10 3" xfId="2692"/>
    <cellStyle name="Normal 3 10 11" xfId="789"/>
    <cellStyle name="Normal 3 10 11 2" xfId="1688"/>
    <cellStyle name="Normal 3 10 11 2 2" xfId="3121"/>
    <cellStyle name="Normal 3 10 11 3" xfId="2717"/>
    <cellStyle name="Normal 3 10 12" xfId="829"/>
    <cellStyle name="Normal 3 10 12 2" xfId="1689"/>
    <cellStyle name="Normal 3 10 12 2 2" xfId="3122"/>
    <cellStyle name="Normal 3 10 12 3" xfId="2742"/>
    <cellStyle name="Normal 3 10 13" xfId="867"/>
    <cellStyle name="Normal 3 10 13 2" xfId="1690"/>
    <cellStyle name="Normal 3 10 13 2 2" xfId="3123"/>
    <cellStyle name="Normal 3 10 13 3" xfId="2767"/>
    <cellStyle name="Normal 3 10 14" xfId="907"/>
    <cellStyle name="Normal 3 10 14 2" xfId="1691"/>
    <cellStyle name="Normal 3 10 14 2 2" xfId="3124"/>
    <cellStyle name="Normal 3 10 14 3" xfId="2792"/>
    <cellStyle name="Normal 3 10 15" xfId="947"/>
    <cellStyle name="Normal 3 10 15 2" xfId="1692"/>
    <cellStyle name="Normal 3 10 15 2 2" xfId="3125"/>
    <cellStyle name="Normal 3 10 15 3" xfId="2817"/>
    <cellStyle name="Normal 3 10 16" xfId="990"/>
    <cellStyle name="Normal 3 10 16 2" xfId="1693"/>
    <cellStyle name="Normal 3 10 16 2 2" xfId="3126"/>
    <cellStyle name="Normal 3 10 16 3" xfId="2842"/>
    <cellStyle name="Normal 3 10 17" xfId="1033"/>
    <cellStyle name="Normal 3 10 17 2" xfId="1694"/>
    <cellStyle name="Normal 3 10 17 2 2" xfId="3127"/>
    <cellStyle name="Normal 3 10 17 3" xfId="2867"/>
    <cellStyle name="Normal 3 10 18" xfId="1073"/>
    <cellStyle name="Normal 3 10 18 2" xfId="1695"/>
    <cellStyle name="Normal 3 10 18 2 2" xfId="3128"/>
    <cellStyle name="Normal 3 10 18 3" xfId="2892"/>
    <cellStyle name="Normal 3 10 19" xfId="1112"/>
    <cellStyle name="Normal 3 10 19 2" xfId="1696"/>
    <cellStyle name="Normal 3 10 19 2 2" xfId="3129"/>
    <cellStyle name="Normal 3 10 19 3" xfId="2917"/>
    <cellStyle name="Normal 3 10 2" xfId="506"/>
    <cellStyle name="Normal 3 10 2 2" xfId="1697"/>
    <cellStyle name="Normal 3 10 2 2 2" xfId="3130"/>
    <cellStyle name="Normal 3 10 2 3" xfId="2541"/>
    <cellStyle name="Normal 3 10 20" xfId="1151"/>
    <cellStyle name="Normal 3 10 20 2" xfId="1698"/>
    <cellStyle name="Normal 3 10 20 2 2" xfId="3131"/>
    <cellStyle name="Normal 3 10 20 3" xfId="2942"/>
    <cellStyle name="Normal 3 10 21" xfId="1198"/>
    <cellStyle name="Normal 3 10 21 2" xfId="1699"/>
    <cellStyle name="Normal 3 10 21 2 2" xfId="3132"/>
    <cellStyle name="Normal 3 10 21 3" xfId="2966"/>
    <cellStyle name="Normal 3 10 22" xfId="1255"/>
    <cellStyle name="Normal 3 10 22 2" xfId="1700"/>
    <cellStyle name="Normal 3 10 22 2 2" xfId="3133"/>
    <cellStyle name="Normal 3 10 22 3" xfId="2991"/>
    <cellStyle name="Normal 3 10 23" xfId="1331"/>
    <cellStyle name="Normal 3 10 23 2" xfId="1701"/>
    <cellStyle name="Normal 3 10 23 2 2" xfId="3134"/>
    <cellStyle name="Normal 3 10 23 3" xfId="3018"/>
    <cellStyle name="Normal 3 10 24" xfId="1389"/>
    <cellStyle name="Normal 3 10 24 2" xfId="1702"/>
    <cellStyle name="Normal 3 10 24 2 2" xfId="3135"/>
    <cellStyle name="Normal 3 10 24 3" xfId="3043"/>
    <cellStyle name="Normal 3 10 25" xfId="1435"/>
    <cellStyle name="Normal 3 10 25 2" xfId="1703"/>
    <cellStyle name="Normal 3 10 25 2 2" xfId="3136"/>
    <cellStyle name="Normal 3 10 25 3" xfId="3068"/>
    <cellStyle name="Normal 3 10 26" xfId="1484"/>
    <cellStyle name="Normal 3 10 26 2" xfId="1704"/>
    <cellStyle name="Normal 3 10 26 2 2" xfId="3137"/>
    <cellStyle name="Normal 3 10 26 3" xfId="3093"/>
    <cellStyle name="Normal 3 10 27" xfId="1705"/>
    <cellStyle name="Normal 3 10 27 2" xfId="3138"/>
    <cellStyle name="Normal 3 10 28" xfId="2470"/>
    <cellStyle name="Normal 3 10 3" xfId="399"/>
    <cellStyle name="Normal 3 10 3 2" xfId="1706"/>
    <cellStyle name="Normal 3 10 3 2 2" xfId="3139"/>
    <cellStyle name="Normal 3 10 3 3" xfId="2538"/>
    <cellStyle name="Normal 3 10 4" xfId="540"/>
    <cellStyle name="Normal 3 10 4 2" xfId="1707"/>
    <cellStyle name="Normal 3 10 4 2 2" xfId="3140"/>
    <cellStyle name="Normal 3 10 4 3" xfId="2566"/>
    <cellStyle name="Normal 3 10 5" xfId="365"/>
    <cellStyle name="Normal 3 10 5 2" xfId="1708"/>
    <cellStyle name="Normal 3 10 5 2 2" xfId="3141"/>
    <cellStyle name="Normal 3 10 5 3" xfId="2513"/>
    <cellStyle name="Normal 3 10 6" xfId="576"/>
    <cellStyle name="Normal 3 10 6 2" xfId="1709"/>
    <cellStyle name="Normal 3 10 6 2 2" xfId="3142"/>
    <cellStyle name="Normal 3 10 6 3" xfId="2591"/>
    <cellStyle name="Normal 3 10 7" xfId="622"/>
    <cellStyle name="Normal 3 10 7 2" xfId="1710"/>
    <cellStyle name="Normal 3 10 7 2 2" xfId="3143"/>
    <cellStyle name="Normal 3 10 7 3" xfId="2617"/>
    <cellStyle name="Normal 3 10 8" xfId="665"/>
    <cellStyle name="Normal 3 10 8 2" xfId="1711"/>
    <cellStyle name="Normal 3 10 8 2 2" xfId="3144"/>
    <cellStyle name="Normal 3 10 8 3" xfId="2642"/>
    <cellStyle name="Normal 3 10 9" xfId="707"/>
    <cellStyle name="Normal 3 10 9 2" xfId="1712"/>
    <cellStyle name="Normal 3 10 9 2 2" xfId="3145"/>
    <cellStyle name="Normal 3 10 9 3" xfId="2667"/>
    <cellStyle name="Normal 3 11" xfId="73"/>
    <cellStyle name="Normal 3 11 10" xfId="749"/>
    <cellStyle name="Normal 3 11 10 2" xfId="1713"/>
    <cellStyle name="Normal 3 11 10 2 2" xfId="3146"/>
    <cellStyle name="Normal 3 11 10 3" xfId="2693"/>
    <cellStyle name="Normal 3 11 11" xfId="790"/>
    <cellStyle name="Normal 3 11 11 2" xfId="1714"/>
    <cellStyle name="Normal 3 11 11 2 2" xfId="3147"/>
    <cellStyle name="Normal 3 11 11 3" xfId="2718"/>
    <cellStyle name="Normal 3 11 12" xfId="830"/>
    <cellStyle name="Normal 3 11 12 2" xfId="1715"/>
    <cellStyle name="Normal 3 11 12 2 2" xfId="3148"/>
    <cellStyle name="Normal 3 11 12 3" xfId="2743"/>
    <cellStyle name="Normal 3 11 13" xfId="868"/>
    <cellStyle name="Normal 3 11 13 2" xfId="1716"/>
    <cellStyle name="Normal 3 11 13 2 2" xfId="3149"/>
    <cellStyle name="Normal 3 11 13 3" xfId="2768"/>
    <cellStyle name="Normal 3 11 14" xfId="908"/>
    <cellStyle name="Normal 3 11 14 2" xfId="1717"/>
    <cellStyle name="Normal 3 11 14 2 2" xfId="3150"/>
    <cellStyle name="Normal 3 11 14 3" xfId="2793"/>
    <cellStyle name="Normal 3 11 15" xfId="948"/>
    <cellStyle name="Normal 3 11 15 2" xfId="1718"/>
    <cellStyle name="Normal 3 11 15 2 2" xfId="3151"/>
    <cellStyle name="Normal 3 11 15 3" xfId="2818"/>
    <cellStyle name="Normal 3 11 16" xfId="991"/>
    <cellStyle name="Normal 3 11 16 2" xfId="1719"/>
    <cellStyle name="Normal 3 11 16 2 2" xfId="3152"/>
    <cellStyle name="Normal 3 11 16 3" xfId="2843"/>
    <cellStyle name="Normal 3 11 17" xfId="1034"/>
    <cellStyle name="Normal 3 11 17 2" xfId="1720"/>
    <cellStyle name="Normal 3 11 17 2 2" xfId="3153"/>
    <cellStyle name="Normal 3 11 17 3" xfId="2868"/>
    <cellStyle name="Normal 3 11 18" xfId="1074"/>
    <cellStyle name="Normal 3 11 18 2" xfId="1721"/>
    <cellStyle name="Normal 3 11 18 2 2" xfId="3154"/>
    <cellStyle name="Normal 3 11 18 3" xfId="2893"/>
    <cellStyle name="Normal 3 11 19" xfId="1113"/>
    <cellStyle name="Normal 3 11 19 2" xfId="1722"/>
    <cellStyle name="Normal 3 11 19 2 2" xfId="3155"/>
    <cellStyle name="Normal 3 11 19 3" xfId="2918"/>
    <cellStyle name="Normal 3 11 2" xfId="507"/>
    <cellStyle name="Normal 3 11 2 2" xfId="1723"/>
    <cellStyle name="Normal 3 11 2 2 2" xfId="3156"/>
    <cellStyle name="Normal 3 11 2 3" xfId="2542"/>
    <cellStyle name="Normal 3 11 20" xfId="1153"/>
    <cellStyle name="Normal 3 11 20 2" xfId="1724"/>
    <cellStyle name="Normal 3 11 20 2 2" xfId="3157"/>
    <cellStyle name="Normal 3 11 20 3" xfId="2943"/>
    <cellStyle name="Normal 3 11 21" xfId="1199"/>
    <cellStyle name="Normal 3 11 21 2" xfId="1725"/>
    <cellStyle name="Normal 3 11 21 2 2" xfId="3158"/>
    <cellStyle name="Normal 3 11 21 3" xfId="2967"/>
    <cellStyle name="Normal 3 11 22" xfId="1256"/>
    <cellStyle name="Normal 3 11 22 2" xfId="1726"/>
    <cellStyle name="Normal 3 11 22 2 2" xfId="3159"/>
    <cellStyle name="Normal 3 11 22 3" xfId="2992"/>
    <cellStyle name="Normal 3 11 23" xfId="1332"/>
    <cellStyle name="Normal 3 11 23 2" xfId="1727"/>
    <cellStyle name="Normal 3 11 23 2 2" xfId="3160"/>
    <cellStyle name="Normal 3 11 23 3" xfId="3019"/>
    <cellStyle name="Normal 3 11 24" xfId="1390"/>
    <cellStyle name="Normal 3 11 24 2" xfId="1728"/>
    <cellStyle name="Normal 3 11 24 2 2" xfId="3161"/>
    <cellStyle name="Normal 3 11 24 3" xfId="3044"/>
    <cellStyle name="Normal 3 11 25" xfId="1436"/>
    <cellStyle name="Normal 3 11 25 2" xfId="1729"/>
    <cellStyle name="Normal 3 11 25 2 2" xfId="3162"/>
    <cellStyle name="Normal 3 11 25 3" xfId="3069"/>
    <cellStyle name="Normal 3 11 26" xfId="1485"/>
    <cellStyle name="Normal 3 11 26 2" xfId="1730"/>
    <cellStyle name="Normal 3 11 26 2 2" xfId="3163"/>
    <cellStyle name="Normal 3 11 26 3" xfId="3094"/>
    <cellStyle name="Normal 3 11 27" xfId="1731"/>
    <cellStyle name="Normal 3 11 27 2" xfId="3164"/>
    <cellStyle name="Normal 3 11 28" xfId="2471"/>
    <cellStyle name="Normal 3 11 3" xfId="398"/>
    <cellStyle name="Normal 3 11 3 2" xfId="1732"/>
    <cellStyle name="Normal 3 11 3 2 2" xfId="3165"/>
    <cellStyle name="Normal 3 11 3 3" xfId="2537"/>
    <cellStyle name="Normal 3 11 4" xfId="541"/>
    <cellStyle name="Normal 3 11 4 2" xfId="1733"/>
    <cellStyle name="Normal 3 11 4 2 2" xfId="3166"/>
    <cellStyle name="Normal 3 11 4 3" xfId="2567"/>
    <cellStyle name="Normal 3 11 5" xfId="364"/>
    <cellStyle name="Normal 3 11 5 2" xfId="1734"/>
    <cellStyle name="Normal 3 11 5 2 2" xfId="3167"/>
    <cellStyle name="Normal 3 11 5 3" xfId="2512"/>
    <cellStyle name="Normal 3 11 6" xfId="577"/>
    <cellStyle name="Normal 3 11 6 2" xfId="1735"/>
    <cellStyle name="Normal 3 11 6 2 2" xfId="3168"/>
    <cellStyle name="Normal 3 11 6 3" xfId="2592"/>
    <cellStyle name="Normal 3 11 7" xfId="623"/>
    <cellStyle name="Normal 3 11 7 2" xfId="1736"/>
    <cellStyle name="Normal 3 11 7 2 2" xfId="3169"/>
    <cellStyle name="Normal 3 11 7 3" xfId="2618"/>
    <cellStyle name="Normal 3 11 8" xfId="666"/>
    <cellStyle name="Normal 3 11 8 2" xfId="1737"/>
    <cellStyle name="Normal 3 11 8 2 2" xfId="3170"/>
    <cellStyle name="Normal 3 11 8 3" xfId="2643"/>
    <cellStyle name="Normal 3 11 9" xfId="708"/>
    <cellStyle name="Normal 3 11 9 2" xfId="1738"/>
    <cellStyle name="Normal 3 11 9 2 2" xfId="3171"/>
    <cellStyle name="Normal 3 11 9 3" xfId="2668"/>
    <cellStyle name="Normal 3 12" xfId="86"/>
    <cellStyle name="Normal 3 12 10" xfId="751"/>
    <cellStyle name="Normal 3 12 10 2" xfId="1739"/>
    <cellStyle name="Normal 3 12 10 2 2" xfId="3172"/>
    <cellStyle name="Normal 3 12 10 3" xfId="2694"/>
    <cellStyle name="Normal 3 12 11" xfId="792"/>
    <cellStyle name="Normal 3 12 11 2" xfId="1740"/>
    <cellStyle name="Normal 3 12 11 2 2" xfId="3173"/>
    <cellStyle name="Normal 3 12 11 3" xfId="2719"/>
    <cellStyle name="Normal 3 12 12" xfId="832"/>
    <cellStyle name="Normal 3 12 12 2" xfId="1741"/>
    <cellStyle name="Normal 3 12 12 2 2" xfId="3174"/>
    <cellStyle name="Normal 3 12 12 3" xfId="2744"/>
    <cellStyle name="Normal 3 12 13" xfId="870"/>
    <cellStyle name="Normal 3 12 13 2" xfId="1742"/>
    <cellStyle name="Normal 3 12 13 2 2" xfId="3175"/>
    <cellStyle name="Normal 3 12 13 3" xfId="2769"/>
    <cellStyle name="Normal 3 12 14" xfId="910"/>
    <cellStyle name="Normal 3 12 14 2" xfId="1743"/>
    <cellStyle name="Normal 3 12 14 2 2" xfId="3176"/>
    <cellStyle name="Normal 3 12 14 3" xfId="2794"/>
    <cellStyle name="Normal 3 12 15" xfId="950"/>
    <cellStyle name="Normal 3 12 15 2" xfId="1744"/>
    <cellStyle name="Normal 3 12 15 2 2" xfId="3177"/>
    <cellStyle name="Normal 3 12 15 3" xfId="2819"/>
    <cellStyle name="Normal 3 12 16" xfId="993"/>
    <cellStyle name="Normal 3 12 16 2" xfId="1745"/>
    <cellStyle name="Normal 3 12 16 2 2" xfId="3178"/>
    <cellStyle name="Normal 3 12 16 3" xfId="2844"/>
    <cellStyle name="Normal 3 12 17" xfId="1036"/>
    <cellStyle name="Normal 3 12 17 2" xfId="1746"/>
    <cellStyle name="Normal 3 12 17 2 2" xfId="3179"/>
    <cellStyle name="Normal 3 12 17 3" xfId="2869"/>
    <cellStyle name="Normal 3 12 18" xfId="1076"/>
    <cellStyle name="Normal 3 12 18 2" xfId="1747"/>
    <cellStyle name="Normal 3 12 18 2 2" xfId="3180"/>
    <cellStyle name="Normal 3 12 18 3" xfId="2894"/>
    <cellStyle name="Normal 3 12 19" xfId="1115"/>
    <cellStyle name="Normal 3 12 19 2" xfId="1748"/>
    <cellStyle name="Normal 3 12 19 2 2" xfId="3181"/>
    <cellStyle name="Normal 3 12 19 3" xfId="2919"/>
    <cellStyle name="Normal 3 12 2" xfId="508"/>
    <cellStyle name="Normal 3 12 2 2" xfId="1749"/>
    <cellStyle name="Normal 3 12 2 2 2" xfId="3182"/>
    <cellStyle name="Normal 3 12 2 3" xfId="2543"/>
    <cellStyle name="Normal 3 12 20" xfId="1154"/>
    <cellStyle name="Normal 3 12 20 2" xfId="1750"/>
    <cellStyle name="Normal 3 12 20 2 2" xfId="3183"/>
    <cellStyle name="Normal 3 12 20 3" xfId="2944"/>
    <cellStyle name="Normal 3 12 21" xfId="1200"/>
    <cellStyle name="Normal 3 12 21 2" xfId="1751"/>
    <cellStyle name="Normal 3 12 21 2 2" xfId="3184"/>
    <cellStyle name="Normal 3 12 21 3" xfId="2968"/>
    <cellStyle name="Normal 3 12 22" xfId="1257"/>
    <cellStyle name="Normal 3 12 22 2" xfId="1752"/>
    <cellStyle name="Normal 3 12 22 2 2" xfId="3185"/>
    <cellStyle name="Normal 3 12 22 3" xfId="2993"/>
    <cellStyle name="Normal 3 12 23" xfId="1333"/>
    <cellStyle name="Normal 3 12 23 2" xfId="1753"/>
    <cellStyle name="Normal 3 12 23 2 2" xfId="3186"/>
    <cellStyle name="Normal 3 12 23 3" xfId="3020"/>
    <cellStyle name="Normal 3 12 24" xfId="1391"/>
    <cellStyle name="Normal 3 12 24 2" xfId="1754"/>
    <cellStyle name="Normal 3 12 24 2 2" xfId="3187"/>
    <cellStyle name="Normal 3 12 24 3" xfId="3045"/>
    <cellStyle name="Normal 3 12 25" xfId="1437"/>
    <cellStyle name="Normal 3 12 25 2" xfId="1755"/>
    <cellStyle name="Normal 3 12 25 2 2" xfId="3188"/>
    <cellStyle name="Normal 3 12 25 3" xfId="3070"/>
    <cellStyle name="Normal 3 12 26" xfId="1486"/>
    <cellStyle name="Normal 3 12 26 2" xfId="1756"/>
    <cellStyle name="Normal 3 12 26 2 2" xfId="3189"/>
    <cellStyle name="Normal 3 12 26 3" xfId="3095"/>
    <cellStyle name="Normal 3 12 27" xfId="1757"/>
    <cellStyle name="Normal 3 12 27 2" xfId="3190"/>
    <cellStyle name="Normal 3 12 28" xfId="2472"/>
    <cellStyle name="Normal 3 12 3" xfId="397"/>
    <cellStyle name="Normal 3 12 3 2" xfId="1758"/>
    <cellStyle name="Normal 3 12 3 2 2" xfId="3191"/>
    <cellStyle name="Normal 3 12 3 3" xfId="2536"/>
    <cellStyle name="Normal 3 12 4" xfId="543"/>
    <cellStyle name="Normal 3 12 4 2" xfId="1759"/>
    <cellStyle name="Normal 3 12 4 2 2" xfId="3192"/>
    <cellStyle name="Normal 3 12 4 3" xfId="2568"/>
    <cellStyle name="Normal 3 12 5" xfId="362"/>
    <cellStyle name="Normal 3 12 5 2" xfId="1760"/>
    <cellStyle name="Normal 3 12 5 2 2" xfId="3193"/>
    <cellStyle name="Normal 3 12 5 3" xfId="2511"/>
    <cellStyle name="Normal 3 12 6" xfId="579"/>
    <cellStyle name="Normal 3 12 6 2" xfId="1761"/>
    <cellStyle name="Normal 3 12 6 2 2" xfId="3194"/>
    <cellStyle name="Normal 3 12 6 3" xfId="2593"/>
    <cellStyle name="Normal 3 12 7" xfId="625"/>
    <cellStyle name="Normal 3 12 7 2" xfId="1762"/>
    <cellStyle name="Normal 3 12 7 2 2" xfId="3195"/>
    <cellStyle name="Normal 3 12 7 3" xfId="2619"/>
    <cellStyle name="Normal 3 12 8" xfId="668"/>
    <cellStyle name="Normal 3 12 8 2" xfId="1763"/>
    <cellStyle name="Normal 3 12 8 2 2" xfId="3196"/>
    <cellStyle name="Normal 3 12 8 3" xfId="2644"/>
    <cellStyle name="Normal 3 12 9" xfId="710"/>
    <cellStyle name="Normal 3 12 9 2" xfId="1764"/>
    <cellStyle name="Normal 3 12 9 2 2" xfId="3197"/>
    <cellStyle name="Normal 3 12 9 3" xfId="2669"/>
    <cellStyle name="Normal 3 13" xfId="99"/>
    <cellStyle name="Normal 3 13 10" xfId="752"/>
    <cellStyle name="Normal 3 13 10 2" xfId="1765"/>
    <cellStyle name="Normal 3 13 10 2 2" xfId="3198"/>
    <cellStyle name="Normal 3 13 10 3" xfId="2695"/>
    <cellStyle name="Normal 3 13 11" xfId="793"/>
    <cellStyle name="Normal 3 13 11 2" xfId="1766"/>
    <cellStyle name="Normal 3 13 11 2 2" xfId="3199"/>
    <cellStyle name="Normal 3 13 11 3" xfId="2720"/>
    <cellStyle name="Normal 3 13 12" xfId="833"/>
    <cellStyle name="Normal 3 13 12 2" xfId="1767"/>
    <cellStyle name="Normal 3 13 12 2 2" xfId="3200"/>
    <cellStyle name="Normal 3 13 12 3" xfId="2745"/>
    <cellStyle name="Normal 3 13 13" xfId="871"/>
    <cellStyle name="Normal 3 13 13 2" xfId="1768"/>
    <cellStyle name="Normal 3 13 13 2 2" xfId="3201"/>
    <cellStyle name="Normal 3 13 13 3" xfId="2770"/>
    <cellStyle name="Normal 3 13 14" xfId="911"/>
    <cellStyle name="Normal 3 13 14 2" xfId="1769"/>
    <cellStyle name="Normal 3 13 14 2 2" xfId="3202"/>
    <cellStyle name="Normal 3 13 14 3" xfId="2795"/>
    <cellStyle name="Normal 3 13 15" xfId="951"/>
    <cellStyle name="Normal 3 13 15 2" xfId="1770"/>
    <cellStyle name="Normal 3 13 15 2 2" xfId="3203"/>
    <cellStyle name="Normal 3 13 15 3" xfId="2820"/>
    <cellStyle name="Normal 3 13 16" xfId="994"/>
    <cellStyle name="Normal 3 13 16 2" xfId="1771"/>
    <cellStyle name="Normal 3 13 16 2 2" xfId="3204"/>
    <cellStyle name="Normal 3 13 16 3" xfId="2845"/>
    <cellStyle name="Normal 3 13 17" xfId="1037"/>
    <cellStyle name="Normal 3 13 17 2" xfId="1772"/>
    <cellStyle name="Normal 3 13 17 2 2" xfId="3205"/>
    <cellStyle name="Normal 3 13 17 3" xfId="2870"/>
    <cellStyle name="Normal 3 13 18" xfId="1077"/>
    <cellStyle name="Normal 3 13 18 2" xfId="1773"/>
    <cellStyle name="Normal 3 13 18 2 2" xfId="3206"/>
    <cellStyle name="Normal 3 13 18 3" xfId="2895"/>
    <cellStyle name="Normal 3 13 19" xfId="1116"/>
    <cellStyle name="Normal 3 13 19 2" xfId="1774"/>
    <cellStyle name="Normal 3 13 19 2 2" xfId="3207"/>
    <cellStyle name="Normal 3 13 19 3" xfId="2920"/>
    <cellStyle name="Normal 3 13 2" xfId="509"/>
    <cellStyle name="Normal 3 13 2 2" xfId="1775"/>
    <cellStyle name="Normal 3 13 2 2 2" xfId="3208"/>
    <cellStyle name="Normal 3 13 2 3" xfId="2544"/>
    <cellStyle name="Normal 3 13 20" xfId="1155"/>
    <cellStyle name="Normal 3 13 20 2" xfId="1776"/>
    <cellStyle name="Normal 3 13 20 2 2" xfId="3209"/>
    <cellStyle name="Normal 3 13 20 3" xfId="2945"/>
    <cellStyle name="Normal 3 13 21" xfId="1201"/>
    <cellStyle name="Normal 3 13 21 2" xfId="1777"/>
    <cellStyle name="Normal 3 13 21 2 2" xfId="3210"/>
    <cellStyle name="Normal 3 13 21 3" xfId="2969"/>
    <cellStyle name="Normal 3 13 22" xfId="1258"/>
    <cellStyle name="Normal 3 13 22 2" xfId="1778"/>
    <cellStyle name="Normal 3 13 22 2 2" xfId="3211"/>
    <cellStyle name="Normal 3 13 22 3" xfId="2994"/>
    <cellStyle name="Normal 3 13 23" xfId="1334"/>
    <cellStyle name="Normal 3 13 23 2" xfId="1779"/>
    <cellStyle name="Normal 3 13 23 2 2" xfId="3212"/>
    <cellStyle name="Normal 3 13 23 3" xfId="3021"/>
    <cellStyle name="Normal 3 13 24" xfId="1392"/>
    <cellStyle name="Normal 3 13 24 2" xfId="1780"/>
    <cellStyle name="Normal 3 13 24 2 2" xfId="3213"/>
    <cellStyle name="Normal 3 13 24 3" xfId="3046"/>
    <cellStyle name="Normal 3 13 25" xfId="1438"/>
    <cellStyle name="Normal 3 13 25 2" xfId="1781"/>
    <cellStyle name="Normal 3 13 25 2 2" xfId="3214"/>
    <cellStyle name="Normal 3 13 25 3" xfId="3071"/>
    <cellStyle name="Normal 3 13 26" xfId="1487"/>
    <cellStyle name="Normal 3 13 26 2" xfId="1782"/>
    <cellStyle name="Normal 3 13 26 2 2" xfId="3215"/>
    <cellStyle name="Normal 3 13 26 3" xfId="3096"/>
    <cellStyle name="Normal 3 13 27" xfId="1783"/>
    <cellStyle name="Normal 3 13 27 2" xfId="3216"/>
    <cellStyle name="Normal 3 13 28" xfId="2473"/>
    <cellStyle name="Normal 3 13 3" xfId="396"/>
    <cellStyle name="Normal 3 13 3 2" xfId="1784"/>
    <cellStyle name="Normal 3 13 3 2 2" xfId="3217"/>
    <cellStyle name="Normal 3 13 3 3" xfId="2535"/>
    <cellStyle name="Normal 3 13 4" xfId="544"/>
    <cellStyle name="Normal 3 13 4 2" xfId="1785"/>
    <cellStyle name="Normal 3 13 4 2 2" xfId="3218"/>
    <cellStyle name="Normal 3 13 4 3" xfId="2569"/>
    <cellStyle name="Normal 3 13 5" xfId="361"/>
    <cellStyle name="Normal 3 13 5 2" xfId="1786"/>
    <cellStyle name="Normal 3 13 5 2 2" xfId="3219"/>
    <cellStyle name="Normal 3 13 5 3" xfId="2510"/>
    <cellStyle name="Normal 3 13 6" xfId="580"/>
    <cellStyle name="Normal 3 13 6 2" xfId="1787"/>
    <cellStyle name="Normal 3 13 6 2 2" xfId="3220"/>
    <cellStyle name="Normal 3 13 6 3" xfId="2594"/>
    <cellStyle name="Normal 3 13 7" xfId="626"/>
    <cellStyle name="Normal 3 13 7 2" xfId="1788"/>
    <cellStyle name="Normal 3 13 7 2 2" xfId="3221"/>
    <cellStyle name="Normal 3 13 7 3" xfId="2620"/>
    <cellStyle name="Normal 3 13 8" xfId="669"/>
    <cellStyle name="Normal 3 13 8 2" xfId="1789"/>
    <cellStyle name="Normal 3 13 8 2 2" xfId="3222"/>
    <cellStyle name="Normal 3 13 8 3" xfId="2645"/>
    <cellStyle name="Normal 3 13 9" xfId="711"/>
    <cellStyle name="Normal 3 13 9 2" xfId="1790"/>
    <cellStyle name="Normal 3 13 9 2 2" xfId="3223"/>
    <cellStyle name="Normal 3 13 9 3" xfId="2670"/>
    <cellStyle name="Normal 3 14" xfId="112"/>
    <cellStyle name="Normal 3 14 10" xfId="753"/>
    <cellStyle name="Normal 3 14 10 2" xfId="1791"/>
    <cellStyle name="Normal 3 14 10 2 2" xfId="3224"/>
    <cellStyle name="Normal 3 14 10 3" xfId="2696"/>
    <cellStyle name="Normal 3 14 11" xfId="794"/>
    <cellStyle name="Normal 3 14 11 2" xfId="1792"/>
    <cellStyle name="Normal 3 14 11 2 2" xfId="3225"/>
    <cellStyle name="Normal 3 14 11 3" xfId="2721"/>
    <cellStyle name="Normal 3 14 12" xfId="834"/>
    <cellStyle name="Normal 3 14 12 2" xfId="1793"/>
    <cellStyle name="Normal 3 14 12 2 2" xfId="3226"/>
    <cellStyle name="Normal 3 14 12 3" xfId="2746"/>
    <cellStyle name="Normal 3 14 13" xfId="872"/>
    <cellStyle name="Normal 3 14 13 2" xfId="1794"/>
    <cellStyle name="Normal 3 14 13 2 2" xfId="3227"/>
    <cellStyle name="Normal 3 14 13 3" xfId="2771"/>
    <cellStyle name="Normal 3 14 14" xfId="912"/>
    <cellStyle name="Normal 3 14 14 2" xfId="1795"/>
    <cellStyle name="Normal 3 14 14 2 2" xfId="3228"/>
    <cellStyle name="Normal 3 14 14 3" xfId="2796"/>
    <cellStyle name="Normal 3 14 15" xfId="952"/>
    <cellStyle name="Normal 3 14 15 2" xfId="1796"/>
    <cellStyle name="Normal 3 14 15 2 2" xfId="3229"/>
    <cellStyle name="Normal 3 14 15 3" xfId="2821"/>
    <cellStyle name="Normal 3 14 16" xfId="995"/>
    <cellStyle name="Normal 3 14 16 2" xfId="1797"/>
    <cellStyle name="Normal 3 14 16 2 2" xfId="3230"/>
    <cellStyle name="Normal 3 14 16 3" xfId="2846"/>
    <cellStyle name="Normal 3 14 17" xfId="1038"/>
    <cellStyle name="Normal 3 14 17 2" xfId="1798"/>
    <cellStyle name="Normal 3 14 17 2 2" xfId="3231"/>
    <cellStyle name="Normal 3 14 17 3" xfId="2871"/>
    <cellStyle name="Normal 3 14 18" xfId="1078"/>
    <cellStyle name="Normal 3 14 18 2" xfId="1799"/>
    <cellStyle name="Normal 3 14 18 2 2" xfId="3232"/>
    <cellStyle name="Normal 3 14 18 3" xfId="2896"/>
    <cellStyle name="Normal 3 14 19" xfId="1117"/>
    <cellStyle name="Normal 3 14 19 2" xfId="1800"/>
    <cellStyle name="Normal 3 14 19 2 2" xfId="3233"/>
    <cellStyle name="Normal 3 14 19 3" xfId="2921"/>
    <cellStyle name="Normal 3 14 2" xfId="510"/>
    <cellStyle name="Normal 3 14 2 2" xfId="1801"/>
    <cellStyle name="Normal 3 14 2 2 2" xfId="3234"/>
    <cellStyle name="Normal 3 14 2 3" xfId="2545"/>
    <cellStyle name="Normal 3 14 20" xfId="1156"/>
    <cellStyle name="Normal 3 14 20 2" xfId="1802"/>
    <cellStyle name="Normal 3 14 20 2 2" xfId="3235"/>
    <cellStyle name="Normal 3 14 20 3" xfId="2946"/>
    <cellStyle name="Normal 3 14 21" xfId="1203"/>
    <cellStyle name="Normal 3 14 21 2" xfId="1803"/>
    <cellStyle name="Normal 3 14 21 2 2" xfId="3236"/>
    <cellStyle name="Normal 3 14 21 3" xfId="2970"/>
    <cellStyle name="Normal 3 14 22" xfId="1260"/>
    <cellStyle name="Normal 3 14 22 2" xfId="1804"/>
    <cellStyle name="Normal 3 14 22 2 2" xfId="3237"/>
    <cellStyle name="Normal 3 14 22 3" xfId="2995"/>
    <cellStyle name="Normal 3 14 23" xfId="1335"/>
    <cellStyle name="Normal 3 14 23 2" xfId="1805"/>
    <cellStyle name="Normal 3 14 23 2 2" xfId="3238"/>
    <cellStyle name="Normal 3 14 23 3" xfId="3022"/>
    <cellStyle name="Normal 3 14 24" xfId="1393"/>
    <cellStyle name="Normal 3 14 24 2" xfId="1806"/>
    <cellStyle name="Normal 3 14 24 2 2" xfId="3239"/>
    <cellStyle name="Normal 3 14 24 3" xfId="3047"/>
    <cellStyle name="Normal 3 14 25" xfId="1439"/>
    <cellStyle name="Normal 3 14 25 2" xfId="1807"/>
    <cellStyle name="Normal 3 14 25 2 2" xfId="3240"/>
    <cellStyle name="Normal 3 14 25 3" xfId="3072"/>
    <cellStyle name="Normal 3 14 26" xfId="1488"/>
    <cellStyle name="Normal 3 14 26 2" xfId="1808"/>
    <cellStyle name="Normal 3 14 26 2 2" xfId="3241"/>
    <cellStyle name="Normal 3 14 26 3" xfId="3097"/>
    <cellStyle name="Normal 3 14 27" xfId="1809"/>
    <cellStyle name="Normal 3 14 27 2" xfId="3242"/>
    <cellStyle name="Normal 3 14 28" xfId="2474"/>
    <cellStyle name="Normal 3 14 3" xfId="395"/>
    <cellStyle name="Normal 3 14 3 2" xfId="1810"/>
    <cellStyle name="Normal 3 14 3 2 2" xfId="3243"/>
    <cellStyle name="Normal 3 14 3 3" xfId="2534"/>
    <cellStyle name="Normal 3 14 4" xfId="545"/>
    <cellStyle name="Normal 3 14 4 2" xfId="1811"/>
    <cellStyle name="Normal 3 14 4 2 2" xfId="3244"/>
    <cellStyle name="Normal 3 14 4 3" xfId="2570"/>
    <cellStyle name="Normal 3 14 5" xfId="360"/>
    <cellStyle name="Normal 3 14 5 2" xfId="1812"/>
    <cellStyle name="Normal 3 14 5 2 2" xfId="3245"/>
    <cellStyle name="Normal 3 14 5 3" xfId="2509"/>
    <cellStyle name="Normal 3 14 6" xfId="581"/>
    <cellStyle name="Normal 3 14 6 2" xfId="1813"/>
    <cellStyle name="Normal 3 14 6 2 2" xfId="3246"/>
    <cellStyle name="Normal 3 14 6 3" xfId="2595"/>
    <cellStyle name="Normal 3 14 7" xfId="627"/>
    <cellStyle name="Normal 3 14 7 2" xfId="1814"/>
    <cellStyle name="Normal 3 14 7 2 2" xfId="3247"/>
    <cellStyle name="Normal 3 14 7 3" xfId="2621"/>
    <cellStyle name="Normal 3 14 8" xfId="670"/>
    <cellStyle name="Normal 3 14 8 2" xfId="1815"/>
    <cellStyle name="Normal 3 14 8 2 2" xfId="3248"/>
    <cellStyle name="Normal 3 14 8 3" xfId="2646"/>
    <cellStyle name="Normal 3 14 9" xfId="712"/>
    <cellStyle name="Normal 3 14 9 2" xfId="1816"/>
    <cellStyle name="Normal 3 14 9 2 2" xfId="3249"/>
    <cellStyle name="Normal 3 14 9 3" xfId="2671"/>
    <cellStyle name="Normal 3 15" xfId="125"/>
    <cellStyle name="Normal 3 15 10" xfId="754"/>
    <cellStyle name="Normal 3 15 10 2" xfId="1817"/>
    <cellStyle name="Normal 3 15 10 2 2" xfId="3250"/>
    <cellStyle name="Normal 3 15 10 3" xfId="2697"/>
    <cellStyle name="Normal 3 15 11" xfId="795"/>
    <cellStyle name="Normal 3 15 11 2" xfId="1818"/>
    <cellStyle name="Normal 3 15 11 2 2" xfId="3251"/>
    <cellStyle name="Normal 3 15 11 3" xfId="2722"/>
    <cellStyle name="Normal 3 15 12" xfId="835"/>
    <cellStyle name="Normal 3 15 12 2" xfId="1819"/>
    <cellStyle name="Normal 3 15 12 2 2" xfId="3252"/>
    <cellStyle name="Normal 3 15 12 3" xfId="2747"/>
    <cellStyle name="Normal 3 15 13" xfId="873"/>
    <cellStyle name="Normal 3 15 13 2" xfId="1820"/>
    <cellStyle name="Normal 3 15 13 2 2" xfId="3253"/>
    <cellStyle name="Normal 3 15 13 3" xfId="2772"/>
    <cellStyle name="Normal 3 15 14" xfId="913"/>
    <cellStyle name="Normal 3 15 14 2" xfId="1821"/>
    <cellStyle name="Normal 3 15 14 2 2" xfId="3254"/>
    <cellStyle name="Normal 3 15 14 3" xfId="2797"/>
    <cellStyle name="Normal 3 15 15" xfId="953"/>
    <cellStyle name="Normal 3 15 15 2" xfId="1822"/>
    <cellStyle name="Normal 3 15 15 2 2" xfId="3255"/>
    <cellStyle name="Normal 3 15 15 3" xfId="2822"/>
    <cellStyle name="Normal 3 15 16" xfId="996"/>
    <cellStyle name="Normal 3 15 16 2" xfId="1823"/>
    <cellStyle name="Normal 3 15 16 2 2" xfId="3256"/>
    <cellStyle name="Normal 3 15 16 3" xfId="2847"/>
    <cellStyle name="Normal 3 15 17" xfId="1039"/>
    <cellStyle name="Normal 3 15 17 2" xfId="1824"/>
    <cellStyle name="Normal 3 15 17 2 2" xfId="3257"/>
    <cellStyle name="Normal 3 15 17 3" xfId="2872"/>
    <cellStyle name="Normal 3 15 18" xfId="1079"/>
    <cellStyle name="Normal 3 15 18 2" xfId="1825"/>
    <cellStyle name="Normal 3 15 18 2 2" xfId="3258"/>
    <cellStyle name="Normal 3 15 18 3" xfId="2897"/>
    <cellStyle name="Normal 3 15 19" xfId="1118"/>
    <cellStyle name="Normal 3 15 19 2" xfId="1826"/>
    <cellStyle name="Normal 3 15 19 2 2" xfId="3259"/>
    <cellStyle name="Normal 3 15 19 3" xfId="2922"/>
    <cellStyle name="Normal 3 15 2" xfId="511"/>
    <cellStyle name="Normal 3 15 2 2" xfId="1827"/>
    <cellStyle name="Normal 3 15 2 2 2" xfId="3260"/>
    <cellStyle name="Normal 3 15 2 3" xfId="2546"/>
    <cellStyle name="Normal 3 15 20" xfId="1157"/>
    <cellStyle name="Normal 3 15 20 2" xfId="1828"/>
    <cellStyle name="Normal 3 15 20 2 2" xfId="3261"/>
    <cellStyle name="Normal 3 15 20 3" xfId="2947"/>
    <cellStyle name="Normal 3 15 21" xfId="1204"/>
    <cellStyle name="Normal 3 15 21 2" xfId="1829"/>
    <cellStyle name="Normal 3 15 21 2 2" xfId="3262"/>
    <cellStyle name="Normal 3 15 21 3" xfId="2971"/>
    <cellStyle name="Normal 3 15 22" xfId="1261"/>
    <cellStyle name="Normal 3 15 22 2" xfId="1830"/>
    <cellStyle name="Normal 3 15 22 2 2" xfId="3263"/>
    <cellStyle name="Normal 3 15 22 3" xfId="2996"/>
    <cellStyle name="Normal 3 15 23" xfId="1336"/>
    <cellStyle name="Normal 3 15 23 2" xfId="1831"/>
    <cellStyle name="Normal 3 15 23 2 2" xfId="3264"/>
    <cellStyle name="Normal 3 15 23 3" xfId="3023"/>
    <cellStyle name="Normal 3 15 24" xfId="1394"/>
    <cellStyle name="Normal 3 15 24 2" xfId="1832"/>
    <cellStyle name="Normal 3 15 24 2 2" xfId="3265"/>
    <cellStyle name="Normal 3 15 24 3" xfId="3048"/>
    <cellStyle name="Normal 3 15 25" xfId="1440"/>
    <cellStyle name="Normal 3 15 25 2" xfId="1833"/>
    <cellStyle name="Normal 3 15 25 2 2" xfId="3266"/>
    <cellStyle name="Normal 3 15 25 3" xfId="3073"/>
    <cellStyle name="Normal 3 15 26" xfId="1489"/>
    <cellStyle name="Normal 3 15 26 2" xfId="1834"/>
    <cellStyle name="Normal 3 15 26 2 2" xfId="3267"/>
    <cellStyle name="Normal 3 15 26 3" xfId="3098"/>
    <cellStyle name="Normal 3 15 27" xfId="1835"/>
    <cellStyle name="Normal 3 15 27 2" xfId="3268"/>
    <cellStyle name="Normal 3 15 28" xfId="2475"/>
    <cellStyle name="Normal 3 15 3" xfId="394"/>
    <cellStyle name="Normal 3 15 3 2" xfId="1836"/>
    <cellStyle name="Normal 3 15 3 2 2" xfId="3269"/>
    <cellStyle name="Normal 3 15 3 3" xfId="2533"/>
    <cellStyle name="Normal 3 15 4" xfId="546"/>
    <cellStyle name="Normal 3 15 4 2" xfId="1837"/>
    <cellStyle name="Normal 3 15 4 2 2" xfId="3270"/>
    <cellStyle name="Normal 3 15 4 3" xfId="2571"/>
    <cellStyle name="Normal 3 15 5" xfId="358"/>
    <cellStyle name="Normal 3 15 5 2" xfId="1838"/>
    <cellStyle name="Normal 3 15 5 2 2" xfId="3271"/>
    <cellStyle name="Normal 3 15 5 3" xfId="2508"/>
    <cellStyle name="Normal 3 15 6" xfId="582"/>
    <cellStyle name="Normal 3 15 6 2" xfId="1839"/>
    <cellStyle name="Normal 3 15 6 2 2" xfId="3272"/>
    <cellStyle name="Normal 3 15 6 3" xfId="2596"/>
    <cellStyle name="Normal 3 15 7" xfId="628"/>
    <cellStyle name="Normal 3 15 7 2" xfId="1840"/>
    <cellStyle name="Normal 3 15 7 2 2" xfId="3273"/>
    <cellStyle name="Normal 3 15 7 3" xfId="2622"/>
    <cellStyle name="Normal 3 15 8" xfId="671"/>
    <cellStyle name="Normal 3 15 8 2" xfId="1841"/>
    <cellStyle name="Normal 3 15 8 2 2" xfId="3274"/>
    <cellStyle name="Normal 3 15 8 3" xfId="2647"/>
    <cellStyle name="Normal 3 15 9" xfId="713"/>
    <cellStyle name="Normal 3 15 9 2" xfId="1842"/>
    <cellStyle name="Normal 3 15 9 2 2" xfId="3275"/>
    <cellStyle name="Normal 3 15 9 3" xfId="2672"/>
    <cellStyle name="Normal 3 16" xfId="136"/>
    <cellStyle name="Normal 3 16 10" xfId="755"/>
    <cellStyle name="Normal 3 16 10 2" xfId="1843"/>
    <cellStyle name="Normal 3 16 10 2 2" xfId="3276"/>
    <cellStyle name="Normal 3 16 10 3" xfId="2698"/>
    <cellStyle name="Normal 3 16 11" xfId="796"/>
    <cellStyle name="Normal 3 16 11 2" xfId="1844"/>
    <cellStyle name="Normal 3 16 11 2 2" xfId="3277"/>
    <cellStyle name="Normal 3 16 11 3" xfId="2723"/>
    <cellStyle name="Normal 3 16 12" xfId="836"/>
    <cellStyle name="Normal 3 16 12 2" xfId="1845"/>
    <cellStyle name="Normal 3 16 12 2 2" xfId="3278"/>
    <cellStyle name="Normal 3 16 12 3" xfId="2748"/>
    <cellStyle name="Normal 3 16 13" xfId="874"/>
    <cellStyle name="Normal 3 16 13 2" xfId="1846"/>
    <cellStyle name="Normal 3 16 13 2 2" xfId="3279"/>
    <cellStyle name="Normal 3 16 13 3" xfId="2773"/>
    <cellStyle name="Normal 3 16 14" xfId="914"/>
    <cellStyle name="Normal 3 16 14 2" xfId="1847"/>
    <cellStyle name="Normal 3 16 14 2 2" xfId="3280"/>
    <cellStyle name="Normal 3 16 14 3" xfId="2798"/>
    <cellStyle name="Normal 3 16 15" xfId="954"/>
    <cellStyle name="Normal 3 16 15 2" xfId="1848"/>
    <cellStyle name="Normal 3 16 15 2 2" xfId="3281"/>
    <cellStyle name="Normal 3 16 15 3" xfId="2823"/>
    <cellStyle name="Normal 3 16 16" xfId="997"/>
    <cellStyle name="Normal 3 16 16 2" xfId="1849"/>
    <cellStyle name="Normal 3 16 16 2 2" xfId="3282"/>
    <cellStyle name="Normal 3 16 16 3" xfId="2848"/>
    <cellStyle name="Normal 3 16 17" xfId="1040"/>
    <cellStyle name="Normal 3 16 17 2" xfId="1850"/>
    <cellStyle name="Normal 3 16 17 2 2" xfId="3283"/>
    <cellStyle name="Normal 3 16 17 3" xfId="2873"/>
    <cellStyle name="Normal 3 16 18" xfId="1080"/>
    <cellStyle name="Normal 3 16 18 2" xfId="1851"/>
    <cellStyle name="Normal 3 16 18 2 2" xfId="3284"/>
    <cellStyle name="Normal 3 16 18 3" xfId="2898"/>
    <cellStyle name="Normal 3 16 19" xfId="1119"/>
    <cellStyle name="Normal 3 16 19 2" xfId="1852"/>
    <cellStyle name="Normal 3 16 19 2 2" xfId="3285"/>
    <cellStyle name="Normal 3 16 19 3" xfId="2923"/>
    <cellStyle name="Normal 3 16 2" xfId="512"/>
    <cellStyle name="Normal 3 16 2 2" xfId="1853"/>
    <cellStyle name="Normal 3 16 2 2 2" xfId="3286"/>
    <cellStyle name="Normal 3 16 2 3" xfId="2547"/>
    <cellStyle name="Normal 3 16 20" xfId="1158"/>
    <cellStyle name="Normal 3 16 20 2" xfId="1854"/>
    <cellStyle name="Normal 3 16 20 2 2" xfId="3287"/>
    <cellStyle name="Normal 3 16 20 3" xfId="2948"/>
    <cellStyle name="Normal 3 16 21" xfId="1206"/>
    <cellStyle name="Normal 3 16 21 2" xfId="1855"/>
    <cellStyle name="Normal 3 16 21 2 2" xfId="3288"/>
    <cellStyle name="Normal 3 16 21 3" xfId="2972"/>
    <cellStyle name="Normal 3 16 22" xfId="1262"/>
    <cellStyle name="Normal 3 16 22 2" xfId="1856"/>
    <cellStyle name="Normal 3 16 22 2 2" xfId="3289"/>
    <cellStyle name="Normal 3 16 22 3" xfId="2997"/>
    <cellStyle name="Normal 3 16 23" xfId="1337"/>
    <cellStyle name="Normal 3 16 23 2" xfId="1857"/>
    <cellStyle name="Normal 3 16 23 2 2" xfId="3290"/>
    <cellStyle name="Normal 3 16 23 3" xfId="3024"/>
    <cellStyle name="Normal 3 16 24" xfId="1395"/>
    <cellStyle name="Normal 3 16 24 2" xfId="1858"/>
    <cellStyle name="Normal 3 16 24 2 2" xfId="3291"/>
    <cellStyle name="Normal 3 16 24 3" xfId="3049"/>
    <cellStyle name="Normal 3 16 25" xfId="1441"/>
    <cellStyle name="Normal 3 16 25 2" xfId="1859"/>
    <cellStyle name="Normal 3 16 25 2 2" xfId="3292"/>
    <cellStyle name="Normal 3 16 25 3" xfId="3074"/>
    <cellStyle name="Normal 3 16 26" xfId="1490"/>
    <cellStyle name="Normal 3 16 26 2" xfId="1860"/>
    <cellStyle name="Normal 3 16 26 2 2" xfId="3293"/>
    <cellStyle name="Normal 3 16 26 3" xfId="3099"/>
    <cellStyle name="Normal 3 16 27" xfId="1861"/>
    <cellStyle name="Normal 3 16 27 2" xfId="3294"/>
    <cellStyle name="Normal 3 16 28" xfId="2476"/>
    <cellStyle name="Normal 3 16 3" xfId="393"/>
    <cellStyle name="Normal 3 16 3 2" xfId="1862"/>
    <cellStyle name="Normal 3 16 3 2 2" xfId="3295"/>
    <cellStyle name="Normal 3 16 3 3" xfId="2532"/>
    <cellStyle name="Normal 3 16 4" xfId="547"/>
    <cellStyle name="Normal 3 16 4 2" xfId="1863"/>
    <cellStyle name="Normal 3 16 4 2 2" xfId="3296"/>
    <cellStyle name="Normal 3 16 4 3" xfId="2572"/>
    <cellStyle name="Normal 3 16 5" xfId="357"/>
    <cellStyle name="Normal 3 16 5 2" xfId="1864"/>
    <cellStyle name="Normal 3 16 5 2 2" xfId="3297"/>
    <cellStyle name="Normal 3 16 5 3" xfId="2507"/>
    <cellStyle name="Normal 3 16 6" xfId="583"/>
    <cellStyle name="Normal 3 16 6 2" xfId="1865"/>
    <cellStyle name="Normal 3 16 6 2 2" xfId="3298"/>
    <cellStyle name="Normal 3 16 6 3" xfId="2597"/>
    <cellStyle name="Normal 3 16 7" xfId="629"/>
    <cellStyle name="Normal 3 16 7 2" xfId="1866"/>
    <cellStyle name="Normal 3 16 7 2 2" xfId="3299"/>
    <cellStyle name="Normal 3 16 7 3" xfId="2623"/>
    <cellStyle name="Normal 3 16 8" xfId="672"/>
    <cellStyle name="Normal 3 16 8 2" xfId="1867"/>
    <cellStyle name="Normal 3 16 8 2 2" xfId="3300"/>
    <cellStyle name="Normal 3 16 8 3" xfId="2648"/>
    <cellStyle name="Normal 3 16 9" xfId="714"/>
    <cellStyle name="Normal 3 16 9 2" xfId="1868"/>
    <cellStyle name="Normal 3 16 9 2 2" xfId="3301"/>
    <cellStyle name="Normal 3 16 9 3" xfId="2673"/>
    <cellStyle name="Normal 3 17" xfId="150"/>
    <cellStyle name="Normal 3 17 10" xfId="756"/>
    <cellStyle name="Normal 3 17 10 2" xfId="1869"/>
    <cellStyle name="Normal 3 17 10 2 2" xfId="3302"/>
    <cellStyle name="Normal 3 17 10 3" xfId="2699"/>
    <cellStyle name="Normal 3 17 11" xfId="797"/>
    <cellStyle name="Normal 3 17 11 2" xfId="1870"/>
    <cellStyle name="Normal 3 17 11 2 2" xfId="3303"/>
    <cellStyle name="Normal 3 17 11 3" xfId="2724"/>
    <cellStyle name="Normal 3 17 12" xfId="837"/>
    <cellStyle name="Normal 3 17 12 2" xfId="1871"/>
    <cellStyle name="Normal 3 17 12 2 2" xfId="3304"/>
    <cellStyle name="Normal 3 17 12 3" xfId="2749"/>
    <cellStyle name="Normal 3 17 13" xfId="875"/>
    <cellStyle name="Normal 3 17 13 2" xfId="1872"/>
    <cellStyle name="Normal 3 17 13 2 2" xfId="3305"/>
    <cellStyle name="Normal 3 17 13 3" xfId="2774"/>
    <cellStyle name="Normal 3 17 14" xfId="915"/>
    <cellStyle name="Normal 3 17 14 2" xfId="1873"/>
    <cellStyle name="Normal 3 17 14 2 2" xfId="3306"/>
    <cellStyle name="Normal 3 17 14 3" xfId="2799"/>
    <cellStyle name="Normal 3 17 15" xfId="955"/>
    <cellStyle name="Normal 3 17 15 2" xfId="1874"/>
    <cellStyle name="Normal 3 17 15 2 2" xfId="3307"/>
    <cellStyle name="Normal 3 17 15 3" xfId="2824"/>
    <cellStyle name="Normal 3 17 16" xfId="998"/>
    <cellStyle name="Normal 3 17 16 2" xfId="1875"/>
    <cellStyle name="Normal 3 17 16 2 2" xfId="3308"/>
    <cellStyle name="Normal 3 17 16 3" xfId="2849"/>
    <cellStyle name="Normal 3 17 17" xfId="1041"/>
    <cellStyle name="Normal 3 17 17 2" xfId="1876"/>
    <cellStyle name="Normal 3 17 17 2 2" xfId="3309"/>
    <cellStyle name="Normal 3 17 17 3" xfId="2874"/>
    <cellStyle name="Normal 3 17 18" xfId="1081"/>
    <cellStyle name="Normal 3 17 18 2" xfId="1877"/>
    <cellStyle name="Normal 3 17 18 2 2" xfId="3310"/>
    <cellStyle name="Normal 3 17 18 3" xfId="2899"/>
    <cellStyle name="Normal 3 17 19" xfId="1120"/>
    <cellStyle name="Normal 3 17 19 2" xfId="1878"/>
    <cellStyle name="Normal 3 17 19 2 2" xfId="3311"/>
    <cellStyle name="Normal 3 17 19 3" xfId="2924"/>
    <cellStyle name="Normal 3 17 2" xfId="513"/>
    <cellStyle name="Normal 3 17 2 2" xfId="1879"/>
    <cellStyle name="Normal 3 17 2 2 2" xfId="3312"/>
    <cellStyle name="Normal 3 17 2 3" xfId="2548"/>
    <cellStyle name="Normal 3 17 20" xfId="1159"/>
    <cellStyle name="Normal 3 17 20 2" xfId="1880"/>
    <cellStyle name="Normal 3 17 20 2 2" xfId="3313"/>
    <cellStyle name="Normal 3 17 20 3" xfId="2949"/>
    <cellStyle name="Normal 3 17 21" xfId="1207"/>
    <cellStyle name="Normal 3 17 21 2" xfId="1881"/>
    <cellStyle name="Normal 3 17 21 2 2" xfId="3314"/>
    <cellStyle name="Normal 3 17 21 3" xfId="2973"/>
    <cellStyle name="Normal 3 17 22" xfId="1263"/>
    <cellStyle name="Normal 3 17 22 2" xfId="1882"/>
    <cellStyle name="Normal 3 17 22 2 2" xfId="3315"/>
    <cellStyle name="Normal 3 17 22 3" xfId="2998"/>
    <cellStyle name="Normal 3 17 23" xfId="1338"/>
    <cellStyle name="Normal 3 17 23 2" xfId="1883"/>
    <cellStyle name="Normal 3 17 23 2 2" xfId="3316"/>
    <cellStyle name="Normal 3 17 23 3" xfId="3025"/>
    <cellStyle name="Normal 3 17 24" xfId="1396"/>
    <cellStyle name="Normal 3 17 24 2" xfId="1884"/>
    <cellStyle name="Normal 3 17 24 2 2" xfId="3317"/>
    <cellStyle name="Normal 3 17 24 3" xfId="3050"/>
    <cellStyle name="Normal 3 17 25" xfId="1442"/>
    <cellStyle name="Normal 3 17 25 2" xfId="1885"/>
    <cellStyle name="Normal 3 17 25 2 2" xfId="3318"/>
    <cellStyle name="Normal 3 17 25 3" xfId="3075"/>
    <cellStyle name="Normal 3 17 26" xfId="1491"/>
    <cellStyle name="Normal 3 17 26 2" xfId="1886"/>
    <cellStyle name="Normal 3 17 26 2 2" xfId="3319"/>
    <cellStyle name="Normal 3 17 26 3" xfId="3100"/>
    <cellStyle name="Normal 3 17 27" xfId="1887"/>
    <cellStyle name="Normal 3 17 27 2" xfId="3320"/>
    <cellStyle name="Normal 3 17 28" xfId="2477"/>
    <cellStyle name="Normal 3 17 3" xfId="392"/>
    <cellStyle name="Normal 3 17 3 2" xfId="1888"/>
    <cellStyle name="Normal 3 17 3 2 2" xfId="3321"/>
    <cellStyle name="Normal 3 17 3 3" xfId="2531"/>
    <cellStyle name="Normal 3 17 4" xfId="548"/>
    <cellStyle name="Normal 3 17 4 2" xfId="1889"/>
    <cellStyle name="Normal 3 17 4 2 2" xfId="3322"/>
    <cellStyle name="Normal 3 17 4 3" xfId="2573"/>
    <cellStyle name="Normal 3 17 5" xfId="356"/>
    <cellStyle name="Normal 3 17 5 2" xfId="1890"/>
    <cellStyle name="Normal 3 17 5 2 2" xfId="3323"/>
    <cellStyle name="Normal 3 17 5 3" xfId="2506"/>
    <cellStyle name="Normal 3 17 6" xfId="584"/>
    <cellStyle name="Normal 3 17 6 2" xfId="1891"/>
    <cellStyle name="Normal 3 17 6 2 2" xfId="3324"/>
    <cellStyle name="Normal 3 17 6 3" xfId="2598"/>
    <cellStyle name="Normal 3 17 7" xfId="630"/>
    <cellStyle name="Normal 3 17 7 2" xfId="1892"/>
    <cellStyle name="Normal 3 17 7 2 2" xfId="3325"/>
    <cellStyle name="Normal 3 17 7 3" xfId="2624"/>
    <cellStyle name="Normal 3 17 8" xfId="673"/>
    <cellStyle name="Normal 3 17 8 2" xfId="1893"/>
    <cellStyle name="Normal 3 17 8 2 2" xfId="3326"/>
    <cellStyle name="Normal 3 17 8 3" xfId="2649"/>
    <cellStyle name="Normal 3 17 9" xfId="715"/>
    <cellStyle name="Normal 3 17 9 2" xfId="1894"/>
    <cellStyle name="Normal 3 17 9 2 2" xfId="3327"/>
    <cellStyle name="Normal 3 17 9 3" xfId="2674"/>
    <cellStyle name="Normal 3 18" xfId="164"/>
    <cellStyle name="Normal 3 18 10" xfId="757"/>
    <cellStyle name="Normal 3 18 10 2" xfId="1895"/>
    <cellStyle name="Normal 3 18 10 2 2" xfId="3328"/>
    <cellStyle name="Normal 3 18 10 3" xfId="2700"/>
    <cellStyle name="Normal 3 18 11" xfId="798"/>
    <cellStyle name="Normal 3 18 11 2" xfId="1896"/>
    <cellStyle name="Normal 3 18 11 2 2" xfId="3329"/>
    <cellStyle name="Normal 3 18 11 3" xfId="2725"/>
    <cellStyle name="Normal 3 18 12" xfId="838"/>
    <cellStyle name="Normal 3 18 12 2" xfId="1897"/>
    <cellStyle name="Normal 3 18 12 2 2" xfId="3330"/>
    <cellStyle name="Normal 3 18 12 3" xfId="2750"/>
    <cellStyle name="Normal 3 18 13" xfId="876"/>
    <cellStyle name="Normal 3 18 13 2" xfId="1898"/>
    <cellStyle name="Normal 3 18 13 2 2" xfId="3331"/>
    <cellStyle name="Normal 3 18 13 3" xfId="2775"/>
    <cellStyle name="Normal 3 18 14" xfId="916"/>
    <cellStyle name="Normal 3 18 14 2" xfId="1899"/>
    <cellStyle name="Normal 3 18 14 2 2" xfId="3332"/>
    <cellStyle name="Normal 3 18 14 3" xfId="2800"/>
    <cellStyle name="Normal 3 18 15" xfId="956"/>
    <cellStyle name="Normal 3 18 15 2" xfId="1900"/>
    <cellStyle name="Normal 3 18 15 2 2" xfId="3333"/>
    <cellStyle name="Normal 3 18 15 3" xfId="2825"/>
    <cellStyle name="Normal 3 18 16" xfId="999"/>
    <cellStyle name="Normal 3 18 16 2" xfId="1901"/>
    <cellStyle name="Normal 3 18 16 2 2" xfId="3334"/>
    <cellStyle name="Normal 3 18 16 3" xfId="2850"/>
    <cellStyle name="Normal 3 18 17" xfId="1042"/>
    <cellStyle name="Normal 3 18 17 2" xfId="1902"/>
    <cellStyle name="Normal 3 18 17 2 2" xfId="3335"/>
    <cellStyle name="Normal 3 18 17 3" xfId="2875"/>
    <cellStyle name="Normal 3 18 18" xfId="1082"/>
    <cellStyle name="Normal 3 18 18 2" xfId="1903"/>
    <cellStyle name="Normal 3 18 18 2 2" xfId="3336"/>
    <cellStyle name="Normal 3 18 18 3" xfId="2900"/>
    <cellStyle name="Normal 3 18 19" xfId="1121"/>
    <cellStyle name="Normal 3 18 19 2" xfId="1904"/>
    <cellStyle name="Normal 3 18 19 2 2" xfId="3337"/>
    <cellStyle name="Normal 3 18 19 3" xfId="2925"/>
    <cellStyle name="Normal 3 18 2" xfId="514"/>
    <cellStyle name="Normal 3 18 2 2" xfId="1905"/>
    <cellStyle name="Normal 3 18 2 2 2" xfId="3338"/>
    <cellStyle name="Normal 3 18 2 3" xfId="2549"/>
    <cellStyle name="Normal 3 18 20" xfId="1161"/>
    <cellStyle name="Normal 3 18 20 2" xfId="1906"/>
    <cellStyle name="Normal 3 18 20 2 2" xfId="3339"/>
    <cellStyle name="Normal 3 18 20 3" xfId="2950"/>
    <cellStyle name="Normal 3 18 21" xfId="1208"/>
    <cellStyle name="Normal 3 18 21 2" xfId="1907"/>
    <cellStyle name="Normal 3 18 21 2 2" xfId="3340"/>
    <cellStyle name="Normal 3 18 21 3" xfId="2974"/>
    <cellStyle name="Normal 3 18 22" xfId="1299"/>
    <cellStyle name="Normal 3 18 22 2" xfId="1908"/>
    <cellStyle name="Normal 3 18 22 2 2" xfId="3341"/>
    <cellStyle name="Normal 3 18 22 3" xfId="3002"/>
    <cellStyle name="Normal 3 18 23" xfId="1339"/>
    <cellStyle name="Normal 3 18 23 2" xfId="1909"/>
    <cellStyle name="Normal 3 18 23 2 2" xfId="3342"/>
    <cellStyle name="Normal 3 18 23 3" xfId="3026"/>
    <cellStyle name="Normal 3 18 24" xfId="1397"/>
    <cellStyle name="Normal 3 18 24 2" xfId="1910"/>
    <cellStyle name="Normal 3 18 24 2 2" xfId="3343"/>
    <cellStyle name="Normal 3 18 24 3" xfId="3051"/>
    <cellStyle name="Normal 3 18 25" xfId="1443"/>
    <cellStyle name="Normal 3 18 25 2" xfId="1911"/>
    <cellStyle name="Normal 3 18 25 2 2" xfId="3344"/>
    <cellStyle name="Normal 3 18 25 3" xfId="3076"/>
    <cellStyle name="Normal 3 18 26" xfId="1492"/>
    <cellStyle name="Normal 3 18 26 2" xfId="1912"/>
    <cellStyle name="Normal 3 18 26 2 2" xfId="3345"/>
    <cellStyle name="Normal 3 18 26 3" xfId="3101"/>
    <cellStyle name="Normal 3 18 27" xfId="1913"/>
    <cellStyle name="Normal 3 18 27 2" xfId="3346"/>
    <cellStyle name="Normal 3 18 28" xfId="2478"/>
    <cellStyle name="Normal 3 18 3" xfId="391"/>
    <cellStyle name="Normal 3 18 3 2" xfId="1914"/>
    <cellStyle name="Normal 3 18 3 2 2" xfId="3347"/>
    <cellStyle name="Normal 3 18 3 3" xfId="2530"/>
    <cellStyle name="Normal 3 18 4" xfId="549"/>
    <cellStyle name="Normal 3 18 4 2" xfId="1915"/>
    <cellStyle name="Normal 3 18 4 2 2" xfId="3348"/>
    <cellStyle name="Normal 3 18 4 3" xfId="2574"/>
    <cellStyle name="Normal 3 18 5" xfId="355"/>
    <cellStyle name="Normal 3 18 5 2" xfId="1916"/>
    <cellStyle name="Normal 3 18 5 2 2" xfId="3349"/>
    <cellStyle name="Normal 3 18 5 3" xfId="2505"/>
    <cellStyle name="Normal 3 18 6" xfId="585"/>
    <cellStyle name="Normal 3 18 6 2" xfId="1917"/>
    <cellStyle name="Normal 3 18 6 2 2" xfId="3350"/>
    <cellStyle name="Normal 3 18 6 3" xfId="2599"/>
    <cellStyle name="Normal 3 18 7" xfId="631"/>
    <cellStyle name="Normal 3 18 7 2" xfId="1918"/>
    <cellStyle name="Normal 3 18 7 2 2" xfId="3351"/>
    <cellStyle name="Normal 3 18 7 3" xfId="2625"/>
    <cellStyle name="Normal 3 18 8" xfId="674"/>
    <cellStyle name="Normal 3 18 8 2" xfId="1919"/>
    <cellStyle name="Normal 3 18 8 2 2" xfId="3352"/>
    <cellStyle name="Normal 3 18 8 3" xfId="2650"/>
    <cellStyle name="Normal 3 18 9" xfId="716"/>
    <cellStyle name="Normal 3 18 9 2" xfId="1920"/>
    <cellStyle name="Normal 3 18 9 2 2" xfId="3353"/>
    <cellStyle name="Normal 3 18 9 3" xfId="2675"/>
    <cellStyle name="Normal 3 19" xfId="177"/>
    <cellStyle name="Normal 3 19 10" xfId="759"/>
    <cellStyle name="Normal 3 19 10 2" xfId="1921"/>
    <cellStyle name="Normal 3 19 10 2 2" xfId="3354"/>
    <cellStyle name="Normal 3 19 10 3" xfId="2701"/>
    <cellStyle name="Normal 3 19 11" xfId="800"/>
    <cellStyle name="Normal 3 19 11 2" xfId="1922"/>
    <cellStyle name="Normal 3 19 11 2 2" xfId="3355"/>
    <cellStyle name="Normal 3 19 11 3" xfId="2726"/>
    <cellStyle name="Normal 3 19 12" xfId="840"/>
    <cellStyle name="Normal 3 19 12 2" xfId="1923"/>
    <cellStyle name="Normal 3 19 12 2 2" xfId="3356"/>
    <cellStyle name="Normal 3 19 12 3" xfId="2751"/>
    <cellStyle name="Normal 3 19 13" xfId="878"/>
    <cellStyle name="Normal 3 19 13 2" xfId="1924"/>
    <cellStyle name="Normal 3 19 13 2 2" xfId="3357"/>
    <cellStyle name="Normal 3 19 13 3" xfId="2776"/>
    <cellStyle name="Normal 3 19 14" xfId="918"/>
    <cellStyle name="Normal 3 19 14 2" xfId="1925"/>
    <cellStyle name="Normal 3 19 14 2 2" xfId="3358"/>
    <cellStyle name="Normal 3 19 14 3" xfId="2801"/>
    <cellStyle name="Normal 3 19 15" xfId="958"/>
    <cellStyle name="Normal 3 19 15 2" xfId="1926"/>
    <cellStyle name="Normal 3 19 15 2 2" xfId="3359"/>
    <cellStyle name="Normal 3 19 15 3" xfId="2826"/>
    <cellStyle name="Normal 3 19 16" xfId="1001"/>
    <cellStyle name="Normal 3 19 16 2" xfId="1927"/>
    <cellStyle name="Normal 3 19 16 2 2" xfId="3360"/>
    <cellStyle name="Normal 3 19 16 3" xfId="2851"/>
    <cellStyle name="Normal 3 19 17" xfId="1044"/>
    <cellStyle name="Normal 3 19 17 2" xfId="1928"/>
    <cellStyle name="Normal 3 19 17 2 2" xfId="3361"/>
    <cellStyle name="Normal 3 19 17 3" xfId="2876"/>
    <cellStyle name="Normal 3 19 18" xfId="1084"/>
    <cellStyle name="Normal 3 19 18 2" xfId="1929"/>
    <cellStyle name="Normal 3 19 18 2 2" xfId="3362"/>
    <cellStyle name="Normal 3 19 18 3" xfId="2901"/>
    <cellStyle name="Normal 3 19 19" xfId="1123"/>
    <cellStyle name="Normal 3 19 19 2" xfId="1930"/>
    <cellStyle name="Normal 3 19 19 2 2" xfId="3363"/>
    <cellStyle name="Normal 3 19 19 3" xfId="2926"/>
    <cellStyle name="Normal 3 19 2" xfId="515"/>
    <cellStyle name="Normal 3 19 2 2" xfId="1931"/>
    <cellStyle name="Normal 3 19 2 2 2" xfId="3364"/>
    <cellStyle name="Normal 3 19 2 3" xfId="2550"/>
    <cellStyle name="Normal 3 19 20" xfId="1162"/>
    <cellStyle name="Normal 3 19 20 2" xfId="1932"/>
    <cellStyle name="Normal 3 19 20 2 2" xfId="3365"/>
    <cellStyle name="Normal 3 19 20 3" xfId="2951"/>
    <cellStyle name="Normal 3 19 21" xfId="1209"/>
    <cellStyle name="Normal 3 19 21 2" xfId="1933"/>
    <cellStyle name="Normal 3 19 21 2 2" xfId="3366"/>
    <cellStyle name="Normal 3 19 21 3" xfId="2975"/>
    <cellStyle name="Normal 3 19 22" xfId="1300"/>
    <cellStyle name="Normal 3 19 22 2" xfId="1934"/>
    <cellStyle name="Normal 3 19 22 2 2" xfId="3367"/>
    <cellStyle name="Normal 3 19 22 3" xfId="3003"/>
    <cellStyle name="Normal 3 19 23" xfId="1340"/>
    <cellStyle name="Normal 3 19 23 2" xfId="1935"/>
    <cellStyle name="Normal 3 19 23 2 2" xfId="3368"/>
    <cellStyle name="Normal 3 19 23 3" xfId="3027"/>
    <cellStyle name="Normal 3 19 24" xfId="1398"/>
    <cellStyle name="Normal 3 19 24 2" xfId="1936"/>
    <cellStyle name="Normal 3 19 24 2 2" xfId="3369"/>
    <cellStyle name="Normal 3 19 24 3" xfId="3052"/>
    <cellStyle name="Normal 3 19 25" xfId="1444"/>
    <cellStyle name="Normal 3 19 25 2" xfId="1937"/>
    <cellStyle name="Normal 3 19 25 2 2" xfId="3370"/>
    <cellStyle name="Normal 3 19 25 3" xfId="3077"/>
    <cellStyle name="Normal 3 19 26" xfId="1493"/>
    <cellStyle name="Normal 3 19 26 2" xfId="1938"/>
    <cellStyle name="Normal 3 19 26 2 2" xfId="3371"/>
    <cellStyle name="Normal 3 19 26 3" xfId="3102"/>
    <cellStyle name="Normal 3 19 27" xfId="1939"/>
    <cellStyle name="Normal 3 19 27 2" xfId="3372"/>
    <cellStyle name="Normal 3 19 28" xfId="2479"/>
    <cellStyle name="Normal 3 19 3" xfId="390"/>
    <cellStyle name="Normal 3 19 3 2" xfId="1940"/>
    <cellStyle name="Normal 3 19 3 2 2" xfId="3373"/>
    <cellStyle name="Normal 3 19 3 3" xfId="2529"/>
    <cellStyle name="Normal 3 19 4" xfId="550"/>
    <cellStyle name="Normal 3 19 4 2" xfId="1941"/>
    <cellStyle name="Normal 3 19 4 2 2" xfId="3374"/>
    <cellStyle name="Normal 3 19 4 3" xfId="2575"/>
    <cellStyle name="Normal 3 19 5" xfId="354"/>
    <cellStyle name="Normal 3 19 5 2" xfId="1942"/>
    <cellStyle name="Normal 3 19 5 2 2" xfId="3375"/>
    <cellStyle name="Normal 3 19 5 3" xfId="2504"/>
    <cellStyle name="Normal 3 19 6" xfId="587"/>
    <cellStyle name="Normal 3 19 6 2" xfId="1943"/>
    <cellStyle name="Normal 3 19 6 2 2" xfId="3376"/>
    <cellStyle name="Normal 3 19 6 3" xfId="2600"/>
    <cellStyle name="Normal 3 19 7" xfId="633"/>
    <cellStyle name="Normal 3 19 7 2" xfId="1944"/>
    <cellStyle name="Normal 3 19 7 2 2" xfId="3377"/>
    <cellStyle name="Normal 3 19 7 3" xfId="2626"/>
    <cellStyle name="Normal 3 19 8" xfId="676"/>
    <cellStyle name="Normal 3 19 8 2" xfId="1945"/>
    <cellStyle name="Normal 3 19 8 2 2" xfId="3378"/>
    <cellStyle name="Normal 3 19 8 3" xfId="2651"/>
    <cellStyle name="Normal 3 19 9" xfId="718"/>
    <cellStyle name="Normal 3 19 9 2" xfId="1946"/>
    <cellStyle name="Normal 3 19 9 2 2" xfId="3379"/>
    <cellStyle name="Normal 3 19 9 3" xfId="2676"/>
    <cellStyle name="Normal 3 2" xfId="6"/>
    <cellStyle name="Normal 3 2 10" xfId="760"/>
    <cellStyle name="Normal 3 2 10 2" xfId="1947"/>
    <cellStyle name="Normal 3 2 10 2 2" xfId="1948"/>
    <cellStyle name="Normal 3 2 11" xfId="801"/>
    <cellStyle name="Normal 3 2 11 2" xfId="1949"/>
    <cellStyle name="Normal 3 2 11 2 2" xfId="1950"/>
    <cellStyle name="Normal 3 2 12" xfId="841"/>
    <cellStyle name="Normal 3 2 12 2" xfId="1951"/>
    <cellStyle name="Normal 3 2 12 2 2" xfId="1952"/>
    <cellStyle name="Normal 3 2 13" xfId="879"/>
    <cellStyle name="Normal 3 2 13 2" xfId="1953"/>
    <cellStyle name="Normal 3 2 13 2 2" xfId="1954"/>
    <cellStyle name="Normal 3 2 14" xfId="919"/>
    <cellStyle name="Normal 3 2 14 2" xfId="1955"/>
    <cellStyle name="Normal 3 2 14 2 2" xfId="1956"/>
    <cellStyle name="Normal 3 2 15" xfId="959"/>
    <cellStyle name="Normal 3 2 15 2" xfId="1957"/>
    <cellStyle name="Normal 3 2 15 2 2" xfId="1958"/>
    <cellStyle name="Normal 3 2 16" xfId="1002"/>
    <cellStyle name="Normal 3 2 16 2" xfId="1959"/>
    <cellStyle name="Normal 3 2 16 2 2" xfId="1960"/>
    <cellStyle name="Normal 3 2 17" xfId="1045"/>
    <cellStyle name="Normal 3 2 17 2" xfId="1961"/>
    <cellStyle name="Normal 3 2 17 2 2" xfId="1962"/>
    <cellStyle name="Normal 3 2 18" xfId="1085"/>
    <cellStyle name="Normal 3 2 18 2" xfId="1963"/>
    <cellStyle name="Normal 3 2 18 2 2" xfId="1964"/>
    <cellStyle name="Normal 3 2 19" xfId="1124"/>
    <cellStyle name="Normal 3 2 19 2" xfId="1965"/>
    <cellStyle name="Normal 3 2 19 2 2" xfId="1966"/>
    <cellStyle name="Normal 3 2 2" xfId="516"/>
    <cellStyle name="Normal 3 2 2 10" xfId="762"/>
    <cellStyle name="Normal 3 2 2 11" xfId="803"/>
    <cellStyle name="Normal 3 2 2 12" xfId="843"/>
    <cellStyle name="Normal 3 2 2 13" xfId="881"/>
    <cellStyle name="Normal 3 2 2 14" xfId="921"/>
    <cellStyle name="Normal 3 2 2 15" xfId="961"/>
    <cellStyle name="Normal 3 2 2 16" xfId="1004"/>
    <cellStyle name="Normal 3 2 2 17" xfId="1047"/>
    <cellStyle name="Normal 3 2 2 18" xfId="1087"/>
    <cellStyle name="Normal 3 2 2 19" xfId="1126"/>
    <cellStyle name="Normal 3 2 2 2" xfId="517"/>
    <cellStyle name="Normal 3 2 2 20" xfId="1165"/>
    <cellStyle name="Normal 3 2 2 21" xfId="1211"/>
    <cellStyle name="Normal 3 2 2 22" xfId="1301"/>
    <cellStyle name="Normal 3 2 2 23" xfId="1342"/>
    <cellStyle name="Normal 3 2 2 24" xfId="1400"/>
    <cellStyle name="Normal 3 2 2 25" xfId="1445"/>
    <cellStyle name="Normal 3 2 2 26" xfId="1495"/>
    <cellStyle name="Normal 3 2 2 27" xfId="1967"/>
    <cellStyle name="Normal 3 2 2 3" xfId="388"/>
    <cellStyle name="Normal 3 2 2 4" xfId="552"/>
    <cellStyle name="Normal 3 2 2 5" xfId="352"/>
    <cellStyle name="Normal 3 2 2 6" xfId="590"/>
    <cellStyle name="Normal 3 2 2 7" xfId="636"/>
    <cellStyle name="Normal 3 2 2 8" xfId="679"/>
    <cellStyle name="Normal 3 2 2 9" xfId="721"/>
    <cellStyle name="Normal 3 2 20" xfId="1164"/>
    <cellStyle name="Normal 3 2 20 2" xfId="1968"/>
    <cellStyle name="Normal 3 2 20 2 2" xfId="1969"/>
    <cellStyle name="Normal 3 2 21" xfId="1586"/>
    <cellStyle name="Normal 3 2 22" xfId="1587"/>
    <cellStyle name="Normal 3 2 3" xfId="389"/>
    <cellStyle name="Normal 3 2 3 2" xfId="1970"/>
    <cellStyle name="Normal 3 2 3 2 2" xfId="1971"/>
    <cellStyle name="Normal 3 2 4" xfId="551"/>
    <cellStyle name="Normal 3 2 4 2" xfId="1972"/>
    <cellStyle name="Normal 3 2 4 2 2" xfId="1973"/>
    <cellStyle name="Normal 3 2 5" xfId="353"/>
    <cellStyle name="Normal 3 2 5 2" xfId="1974"/>
    <cellStyle name="Normal 3 2 5 2 2" xfId="1975"/>
    <cellStyle name="Normal 3 2 6" xfId="588"/>
    <cellStyle name="Normal 3 2 6 2" xfId="1976"/>
    <cellStyle name="Normal 3 2 6 2 2" xfId="1977"/>
    <cellStyle name="Normal 3 2 7" xfId="634"/>
    <cellStyle name="Normal 3 2 7 2" xfId="1978"/>
    <cellStyle name="Normal 3 2 7 2 2" xfId="1979"/>
    <cellStyle name="Normal 3 2 8" xfId="677"/>
    <cellStyle name="Normal 3 2 8 2" xfId="1980"/>
    <cellStyle name="Normal 3 2 8 2 2" xfId="1981"/>
    <cellStyle name="Normal 3 2 9" xfId="719"/>
    <cellStyle name="Normal 3 2 9 2" xfId="1982"/>
    <cellStyle name="Normal 3 2 9 2 2" xfId="1983"/>
    <cellStyle name="Normal 3 20" xfId="190"/>
    <cellStyle name="Normal 3 20 10" xfId="763"/>
    <cellStyle name="Normal 3 20 10 2" xfId="1984"/>
    <cellStyle name="Normal 3 20 10 2 2" xfId="3380"/>
    <cellStyle name="Normal 3 20 10 3" xfId="2702"/>
    <cellStyle name="Normal 3 20 11" xfId="804"/>
    <cellStyle name="Normal 3 20 11 2" xfId="1985"/>
    <cellStyle name="Normal 3 20 11 2 2" xfId="3381"/>
    <cellStyle name="Normal 3 20 11 3" xfId="2727"/>
    <cellStyle name="Normal 3 20 12" xfId="844"/>
    <cellStyle name="Normal 3 20 12 2" xfId="1986"/>
    <cellStyle name="Normal 3 20 12 2 2" xfId="3382"/>
    <cellStyle name="Normal 3 20 12 3" xfId="2752"/>
    <cellStyle name="Normal 3 20 13" xfId="882"/>
    <cellStyle name="Normal 3 20 13 2" xfId="1987"/>
    <cellStyle name="Normal 3 20 13 2 2" xfId="3383"/>
    <cellStyle name="Normal 3 20 13 3" xfId="2777"/>
    <cellStyle name="Normal 3 20 14" xfId="922"/>
    <cellStyle name="Normal 3 20 14 2" xfId="1988"/>
    <cellStyle name="Normal 3 20 14 2 2" xfId="3384"/>
    <cellStyle name="Normal 3 20 14 3" xfId="2802"/>
    <cellStyle name="Normal 3 20 15" xfId="962"/>
    <cellStyle name="Normal 3 20 15 2" xfId="1989"/>
    <cellStyle name="Normal 3 20 15 2 2" xfId="3385"/>
    <cellStyle name="Normal 3 20 15 3" xfId="2827"/>
    <cellStyle name="Normal 3 20 16" xfId="1005"/>
    <cellStyle name="Normal 3 20 16 2" xfId="1990"/>
    <cellStyle name="Normal 3 20 16 2 2" xfId="3386"/>
    <cellStyle name="Normal 3 20 16 3" xfId="2852"/>
    <cellStyle name="Normal 3 20 17" xfId="1048"/>
    <cellStyle name="Normal 3 20 17 2" xfId="1991"/>
    <cellStyle name="Normal 3 20 17 2 2" xfId="3387"/>
    <cellStyle name="Normal 3 20 17 3" xfId="2877"/>
    <cellStyle name="Normal 3 20 18" xfId="1088"/>
    <cellStyle name="Normal 3 20 18 2" xfId="1992"/>
    <cellStyle name="Normal 3 20 18 2 2" xfId="3388"/>
    <cellStyle name="Normal 3 20 18 3" xfId="2902"/>
    <cellStyle name="Normal 3 20 19" xfId="1127"/>
    <cellStyle name="Normal 3 20 19 2" xfId="1993"/>
    <cellStyle name="Normal 3 20 19 2 2" xfId="3389"/>
    <cellStyle name="Normal 3 20 19 3" xfId="2927"/>
    <cellStyle name="Normal 3 20 2" xfId="518"/>
    <cellStyle name="Normal 3 20 2 2" xfId="1994"/>
    <cellStyle name="Normal 3 20 2 2 2" xfId="3390"/>
    <cellStyle name="Normal 3 20 2 3" xfId="2551"/>
    <cellStyle name="Normal 3 20 20" xfId="1166"/>
    <cellStyle name="Normal 3 20 20 2" xfId="1995"/>
    <cellStyle name="Normal 3 20 20 2 2" xfId="3391"/>
    <cellStyle name="Normal 3 20 20 3" xfId="2952"/>
    <cellStyle name="Normal 3 20 21" xfId="1212"/>
    <cellStyle name="Normal 3 20 21 2" xfId="1996"/>
    <cellStyle name="Normal 3 20 21 2 2" xfId="3392"/>
    <cellStyle name="Normal 3 20 21 3" xfId="2976"/>
    <cellStyle name="Normal 3 20 22" xfId="1302"/>
    <cellStyle name="Normal 3 20 22 2" xfId="1997"/>
    <cellStyle name="Normal 3 20 22 2 2" xfId="3393"/>
    <cellStyle name="Normal 3 20 22 3" xfId="3004"/>
    <cellStyle name="Normal 3 20 23" xfId="1343"/>
    <cellStyle name="Normal 3 20 23 2" xfId="1998"/>
    <cellStyle name="Normal 3 20 23 2 2" xfId="3394"/>
    <cellStyle name="Normal 3 20 23 3" xfId="3028"/>
    <cellStyle name="Normal 3 20 24" xfId="1401"/>
    <cellStyle name="Normal 3 20 24 2" xfId="1999"/>
    <cellStyle name="Normal 3 20 24 2 2" xfId="3395"/>
    <cellStyle name="Normal 3 20 24 3" xfId="3053"/>
    <cellStyle name="Normal 3 20 25" xfId="1447"/>
    <cellStyle name="Normal 3 20 25 2" xfId="2000"/>
    <cellStyle name="Normal 3 20 25 2 2" xfId="3396"/>
    <cellStyle name="Normal 3 20 25 3" xfId="3078"/>
    <cellStyle name="Normal 3 20 26" xfId="1496"/>
    <cellStyle name="Normal 3 20 26 2" xfId="2001"/>
    <cellStyle name="Normal 3 20 26 2 2" xfId="3397"/>
    <cellStyle name="Normal 3 20 26 3" xfId="3103"/>
    <cellStyle name="Normal 3 20 27" xfId="2002"/>
    <cellStyle name="Normal 3 20 27 2" xfId="3398"/>
    <cellStyle name="Normal 3 20 28" xfId="2480"/>
    <cellStyle name="Normal 3 20 3" xfId="387"/>
    <cellStyle name="Normal 3 20 3 2" xfId="2003"/>
    <cellStyle name="Normal 3 20 3 2 2" xfId="3399"/>
    <cellStyle name="Normal 3 20 3 3" xfId="2528"/>
    <cellStyle name="Normal 3 20 4" xfId="553"/>
    <cellStyle name="Normal 3 20 4 2" xfId="2004"/>
    <cellStyle name="Normal 3 20 4 2 2" xfId="3400"/>
    <cellStyle name="Normal 3 20 4 3" xfId="2576"/>
    <cellStyle name="Normal 3 20 5" xfId="351"/>
    <cellStyle name="Normal 3 20 5 2" xfId="2005"/>
    <cellStyle name="Normal 3 20 5 2 2" xfId="3401"/>
    <cellStyle name="Normal 3 20 5 3" xfId="2503"/>
    <cellStyle name="Normal 3 20 6" xfId="591"/>
    <cellStyle name="Normal 3 20 6 2" xfId="2006"/>
    <cellStyle name="Normal 3 20 6 2 2" xfId="3402"/>
    <cellStyle name="Normal 3 20 6 3" xfId="2601"/>
    <cellStyle name="Normal 3 20 7" xfId="637"/>
    <cellStyle name="Normal 3 20 7 2" xfId="2007"/>
    <cellStyle name="Normal 3 20 7 2 2" xfId="3403"/>
    <cellStyle name="Normal 3 20 7 3" xfId="2627"/>
    <cellStyle name="Normal 3 20 8" xfId="680"/>
    <cellStyle name="Normal 3 20 8 2" xfId="2008"/>
    <cellStyle name="Normal 3 20 8 2 2" xfId="3404"/>
    <cellStyle name="Normal 3 20 8 3" xfId="2652"/>
    <cellStyle name="Normal 3 20 9" xfId="722"/>
    <cellStyle name="Normal 3 20 9 2" xfId="2009"/>
    <cellStyle name="Normal 3 20 9 2 2" xfId="3405"/>
    <cellStyle name="Normal 3 20 9 3" xfId="2677"/>
    <cellStyle name="Normal 3 21" xfId="203"/>
    <cellStyle name="Normal 3 21 10" xfId="764"/>
    <cellStyle name="Normal 3 21 10 2" xfId="2010"/>
    <cellStyle name="Normal 3 21 10 2 2" xfId="3406"/>
    <cellStyle name="Normal 3 21 10 3" xfId="2703"/>
    <cellStyle name="Normal 3 21 11" xfId="805"/>
    <cellStyle name="Normal 3 21 11 2" xfId="2011"/>
    <cellStyle name="Normal 3 21 11 2 2" xfId="3407"/>
    <cellStyle name="Normal 3 21 11 3" xfId="2728"/>
    <cellStyle name="Normal 3 21 12" xfId="845"/>
    <cellStyle name="Normal 3 21 12 2" xfId="2012"/>
    <cellStyle name="Normal 3 21 12 2 2" xfId="3408"/>
    <cellStyle name="Normal 3 21 12 3" xfId="2753"/>
    <cellStyle name="Normal 3 21 13" xfId="883"/>
    <cellStyle name="Normal 3 21 13 2" xfId="2013"/>
    <cellStyle name="Normal 3 21 13 2 2" xfId="3409"/>
    <cellStyle name="Normal 3 21 13 3" xfId="2778"/>
    <cellStyle name="Normal 3 21 14" xfId="923"/>
    <cellStyle name="Normal 3 21 14 2" xfId="2014"/>
    <cellStyle name="Normal 3 21 14 2 2" xfId="3410"/>
    <cellStyle name="Normal 3 21 14 3" xfId="2803"/>
    <cellStyle name="Normal 3 21 15" xfId="963"/>
    <cellStyle name="Normal 3 21 15 2" xfId="2015"/>
    <cellStyle name="Normal 3 21 15 2 2" xfId="3411"/>
    <cellStyle name="Normal 3 21 15 3" xfId="2828"/>
    <cellStyle name="Normal 3 21 16" xfId="1006"/>
    <cellStyle name="Normal 3 21 16 2" xfId="2016"/>
    <cellStyle name="Normal 3 21 16 2 2" xfId="3412"/>
    <cellStyle name="Normal 3 21 16 3" xfId="2853"/>
    <cellStyle name="Normal 3 21 17" xfId="1049"/>
    <cellStyle name="Normal 3 21 17 2" xfId="2017"/>
    <cellStyle name="Normal 3 21 17 2 2" xfId="3413"/>
    <cellStyle name="Normal 3 21 17 3" xfId="2878"/>
    <cellStyle name="Normal 3 21 18" xfId="1089"/>
    <cellStyle name="Normal 3 21 18 2" xfId="2018"/>
    <cellStyle name="Normal 3 21 18 2 2" xfId="3414"/>
    <cellStyle name="Normal 3 21 18 3" xfId="2903"/>
    <cellStyle name="Normal 3 21 19" xfId="1128"/>
    <cellStyle name="Normal 3 21 19 2" xfId="2019"/>
    <cellStyle name="Normal 3 21 19 2 2" xfId="3415"/>
    <cellStyle name="Normal 3 21 19 3" xfId="2928"/>
    <cellStyle name="Normal 3 21 2" xfId="519"/>
    <cellStyle name="Normal 3 21 2 2" xfId="2020"/>
    <cellStyle name="Normal 3 21 2 2 2" xfId="3416"/>
    <cellStyle name="Normal 3 21 2 3" xfId="2552"/>
    <cellStyle name="Normal 3 21 20" xfId="1167"/>
    <cellStyle name="Normal 3 21 20 2" xfId="2021"/>
    <cellStyle name="Normal 3 21 20 2 2" xfId="3417"/>
    <cellStyle name="Normal 3 21 20 3" xfId="2953"/>
    <cellStyle name="Normal 3 21 21" xfId="1213"/>
    <cellStyle name="Normal 3 21 21 2" xfId="2022"/>
    <cellStyle name="Normal 3 21 21 2 2" xfId="3418"/>
    <cellStyle name="Normal 3 21 21 3" xfId="2977"/>
    <cellStyle name="Normal 3 21 22" xfId="1303"/>
    <cellStyle name="Normal 3 21 22 2" xfId="2023"/>
    <cellStyle name="Normal 3 21 22 2 2" xfId="3419"/>
    <cellStyle name="Normal 3 21 22 3" xfId="3005"/>
    <cellStyle name="Normal 3 21 23" xfId="1344"/>
    <cellStyle name="Normal 3 21 23 2" xfId="2024"/>
    <cellStyle name="Normal 3 21 23 2 2" xfId="3420"/>
    <cellStyle name="Normal 3 21 23 3" xfId="3029"/>
    <cellStyle name="Normal 3 21 24" xfId="1403"/>
    <cellStyle name="Normal 3 21 24 2" xfId="2025"/>
    <cellStyle name="Normal 3 21 24 2 2" xfId="3421"/>
    <cellStyle name="Normal 3 21 24 3" xfId="3054"/>
    <cellStyle name="Normal 3 21 25" xfId="1448"/>
    <cellStyle name="Normal 3 21 25 2" xfId="2026"/>
    <cellStyle name="Normal 3 21 25 2 2" xfId="3422"/>
    <cellStyle name="Normal 3 21 25 3" xfId="3079"/>
    <cellStyle name="Normal 3 21 26" xfId="1497"/>
    <cellStyle name="Normal 3 21 26 2" xfId="2027"/>
    <cellStyle name="Normal 3 21 26 2 2" xfId="3423"/>
    <cellStyle name="Normal 3 21 26 3" xfId="3104"/>
    <cellStyle name="Normal 3 21 27" xfId="2028"/>
    <cellStyle name="Normal 3 21 27 2" xfId="3424"/>
    <cellStyle name="Normal 3 21 28" xfId="2481"/>
    <cellStyle name="Normal 3 21 3" xfId="386"/>
    <cellStyle name="Normal 3 21 3 2" xfId="2029"/>
    <cellStyle name="Normal 3 21 3 2 2" xfId="3425"/>
    <cellStyle name="Normal 3 21 3 3" xfId="2527"/>
    <cellStyle name="Normal 3 21 4" xfId="554"/>
    <cellStyle name="Normal 3 21 4 2" xfId="2030"/>
    <cellStyle name="Normal 3 21 4 2 2" xfId="3426"/>
    <cellStyle name="Normal 3 21 4 3" xfId="2577"/>
    <cellStyle name="Normal 3 21 5" xfId="350"/>
    <cellStyle name="Normal 3 21 5 2" xfId="2031"/>
    <cellStyle name="Normal 3 21 5 2 2" xfId="3427"/>
    <cellStyle name="Normal 3 21 5 3" xfId="2502"/>
    <cellStyle name="Normal 3 21 6" xfId="592"/>
    <cellStyle name="Normal 3 21 6 2" xfId="2032"/>
    <cellStyle name="Normal 3 21 6 2 2" xfId="3428"/>
    <cellStyle name="Normal 3 21 6 3" xfId="2602"/>
    <cellStyle name="Normal 3 21 7" xfId="638"/>
    <cellStyle name="Normal 3 21 7 2" xfId="2033"/>
    <cellStyle name="Normal 3 21 7 2 2" xfId="3429"/>
    <cellStyle name="Normal 3 21 7 3" xfId="2628"/>
    <cellStyle name="Normal 3 21 8" xfId="681"/>
    <cellStyle name="Normal 3 21 8 2" xfId="2034"/>
    <cellStyle name="Normal 3 21 8 2 2" xfId="3430"/>
    <cellStyle name="Normal 3 21 8 3" xfId="2653"/>
    <cellStyle name="Normal 3 21 9" xfId="723"/>
    <cellStyle name="Normal 3 21 9 2" xfId="2035"/>
    <cellStyle name="Normal 3 21 9 2 2" xfId="3431"/>
    <cellStyle name="Normal 3 21 9 3" xfId="2678"/>
    <cellStyle name="Normal 3 22" xfId="216"/>
    <cellStyle name="Normal 3 22 10" xfId="765"/>
    <cellStyle name="Normal 3 22 10 2" xfId="2036"/>
    <cellStyle name="Normal 3 22 10 2 2" xfId="3432"/>
    <cellStyle name="Normal 3 22 10 3" xfId="2704"/>
    <cellStyle name="Normal 3 22 11" xfId="806"/>
    <cellStyle name="Normal 3 22 11 2" xfId="2037"/>
    <cellStyle name="Normal 3 22 11 2 2" xfId="3433"/>
    <cellStyle name="Normal 3 22 11 3" xfId="2729"/>
    <cellStyle name="Normal 3 22 12" xfId="846"/>
    <cellStyle name="Normal 3 22 12 2" xfId="2038"/>
    <cellStyle name="Normal 3 22 12 2 2" xfId="3434"/>
    <cellStyle name="Normal 3 22 12 3" xfId="2754"/>
    <cellStyle name="Normal 3 22 13" xfId="884"/>
    <cellStyle name="Normal 3 22 13 2" xfId="2039"/>
    <cellStyle name="Normal 3 22 13 2 2" xfId="3435"/>
    <cellStyle name="Normal 3 22 13 3" xfId="2779"/>
    <cellStyle name="Normal 3 22 14" xfId="924"/>
    <cellStyle name="Normal 3 22 14 2" xfId="2040"/>
    <cellStyle name="Normal 3 22 14 2 2" xfId="3436"/>
    <cellStyle name="Normal 3 22 14 3" xfId="2804"/>
    <cellStyle name="Normal 3 22 15" xfId="964"/>
    <cellStyle name="Normal 3 22 15 2" xfId="2041"/>
    <cellStyle name="Normal 3 22 15 2 2" xfId="3437"/>
    <cellStyle name="Normal 3 22 15 3" xfId="2829"/>
    <cellStyle name="Normal 3 22 16" xfId="1007"/>
    <cellStyle name="Normal 3 22 16 2" xfId="2042"/>
    <cellStyle name="Normal 3 22 16 2 2" xfId="3438"/>
    <cellStyle name="Normal 3 22 16 3" xfId="2854"/>
    <cellStyle name="Normal 3 22 17" xfId="1050"/>
    <cellStyle name="Normal 3 22 17 2" xfId="2043"/>
    <cellStyle name="Normal 3 22 17 2 2" xfId="3439"/>
    <cellStyle name="Normal 3 22 17 3" xfId="2879"/>
    <cellStyle name="Normal 3 22 18" xfId="1090"/>
    <cellStyle name="Normal 3 22 18 2" xfId="2044"/>
    <cellStyle name="Normal 3 22 18 2 2" xfId="3440"/>
    <cellStyle name="Normal 3 22 18 3" xfId="2904"/>
    <cellStyle name="Normal 3 22 19" xfId="1129"/>
    <cellStyle name="Normal 3 22 19 2" xfId="2045"/>
    <cellStyle name="Normal 3 22 19 2 2" xfId="3441"/>
    <cellStyle name="Normal 3 22 19 3" xfId="2929"/>
    <cellStyle name="Normal 3 22 2" xfId="520"/>
    <cellStyle name="Normal 3 22 2 2" xfId="2046"/>
    <cellStyle name="Normal 3 22 2 2 2" xfId="3442"/>
    <cellStyle name="Normal 3 22 2 3" xfId="2553"/>
    <cellStyle name="Normal 3 22 20" xfId="1168"/>
    <cellStyle name="Normal 3 22 20 2" xfId="2047"/>
    <cellStyle name="Normal 3 22 20 2 2" xfId="3443"/>
    <cellStyle name="Normal 3 22 20 3" xfId="2954"/>
    <cellStyle name="Normal 3 22 21" xfId="1214"/>
    <cellStyle name="Normal 3 22 21 2" xfId="2048"/>
    <cellStyle name="Normal 3 22 21 2 2" xfId="3444"/>
    <cellStyle name="Normal 3 22 21 3" xfId="2978"/>
    <cellStyle name="Normal 3 22 22" xfId="1304"/>
    <cellStyle name="Normal 3 22 22 2" xfId="2049"/>
    <cellStyle name="Normal 3 22 22 2 2" xfId="3445"/>
    <cellStyle name="Normal 3 22 22 3" xfId="3006"/>
    <cellStyle name="Normal 3 22 23" xfId="1345"/>
    <cellStyle name="Normal 3 22 23 2" xfId="2050"/>
    <cellStyle name="Normal 3 22 23 2 2" xfId="3446"/>
    <cellStyle name="Normal 3 22 23 3" xfId="3030"/>
    <cellStyle name="Normal 3 22 24" xfId="1404"/>
    <cellStyle name="Normal 3 22 24 2" xfId="2051"/>
    <cellStyle name="Normal 3 22 24 2 2" xfId="3447"/>
    <cellStyle name="Normal 3 22 24 3" xfId="3055"/>
    <cellStyle name="Normal 3 22 25" xfId="1449"/>
    <cellStyle name="Normal 3 22 25 2" xfId="2052"/>
    <cellStyle name="Normal 3 22 25 2 2" xfId="3448"/>
    <cellStyle name="Normal 3 22 25 3" xfId="3080"/>
    <cellStyle name="Normal 3 22 26" xfId="1498"/>
    <cellStyle name="Normal 3 22 26 2" xfId="2053"/>
    <cellStyle name="Normal 3 22 26 2 2" xfId="3449"/>
    <cellStyle name="Normal 3 22 26 3" xfId="3105"/>
    <cellStyle name="Normal 3 22 27" xfId="2054"/>
    <cellStyle name="Normal 3 22 27 2" xfId="3450"/>
    <cellStyle name="Normal 3 22 28" xfId="2482"/>
    <cellStyle name="Normal 3 22 3" xfId="385"/>
    <cellStyle name="Normal 3 22 3 2" xfId="2055"/>
    <cellStyle name="Normal 3 22 3 2 2" xfId="3451"/>
    <cellStyle name="Normal 3 22 3 3" xfId="2526"/>
    <cellStyle name="Normal 3 22 4" xfId="555"/>
    <cellStyle name="Normal 3 22 4 2" xfId="2056"/>
    <cellStyle name="Normal 3 22 4 2 2" xfId="3452"/>
    <cellStyle name="Normal 3 22 4 3" xfId="2578"/>
    <cellStyle name="Normal 3 22 5" xfId="349"/>
    <cellStyle name="Normal 3 22 5 2" xfId="2057"/>
    <cellStyle name="Normal 3 22 5 2 2" xfId="3453"/>
    <cellStyle name="Normal 3 22 5 3" xfId="2501"/>
    <cellStyle name="Normal 3 22 6" xfId="593"/>
    <cellStyle name="Normal 3 22 6 2" xfId="2058"/>
    <cellStyle name="Normal 3 22 6 2 2" xfId="3454"/>
    <cellStyle name="Normal 3 22 6 3" xfId="2603"/>
    <cellStyle name="Normal 3 22 7" xfId="639"/>
    <cellStyle name="Normal 3 22 7 2" xfId="2059"/>
    <cellStyle name="Normal 3 22 7 2 2" xfId="3455"/>
    <cellStyle name="Normal 3 22 7 3" xfId="2629"/>
    <cellStyle name="Normal 3 22 8" xfId="682"/>
    <cellStyle name="Normal 3 22 8 2" xfId="2060"/>
    <cellStyle name="Normal 3 22 8 2 2" xfId="3456"/>
    <cellStyle name="Normal 3 22 8 3" xfId="2654"/>
    <cellStyle name="Normal 3 22 9" xfId="724"/>
    <cellStyle name="Normal 3 22 9 2" xfId="2061"/>
    <cellStyle name="Normal 3 22 9 2 2" xfId="3457"/>
    <cellStyle name="Normal 3 22 9 3" xfId="2679"/>
    <cellStyle name="Normal 3 23" xfId="229"/>
    <cellStyle name="Normal 3 23 10" xfId="766"/>
    <cellStyle name="Normal 3 23 10 2" xfId="2062"/>
    <cellStyle name="Normal 3 23 10 2 2" xfId="3458"/>
    <cellStyle name="Normal 3 23 10 3" xfId="2705"/>
    <cellStyle name="Normal 3 23 11" xfId="807"/>
    <cellStyle name="Normal 3 23 11 2" xfId="2063"/>
    <cellStyle name="Normal 3 23 11 2 2" xfId="3459"/>
    <cellStyle name="Normal 3 23 11 3" xfId="2730"/>
    <cellStyle name="Normal 3 23 12" xfId="847"/>
    <cellStyle name="Normal 3 23 12 2" xfId="2064"/>
    <cellStyle name="Normal 3 23 12 2 2" xfId="3460"/>
    <cellStyle name="Normal 3 23 12 3" xfId="2755"/>
    <cellStyle name="Normal 3 23 13" xfId="885"/>
    <cellStyle name="Normal 3 23 13 2" xfId="2065"/>
    <cellStyle name="Normal 3 23 13 2 2" xfId="3461"/>
    <cellStyle name="Normal 3 23 13 3" xfId="2780"/>
    <cellStyle name="Normal 3 23 14" xfId="925"/>
    <cellStyle name="Normal 3 23 14 2" xfId="2066"/>
    <cellStyle name="Normal 3 23 14 2 2" xfId="3462"/>
    <cellStyle name="Normal 3 23 14 3" xfId="2805"/>
    <cellStyle name="Normal 3 23 15" xfId="965"/>
    <cellStyle name="Normal 3 23 15 2" xfId="2067"/>
    <cellStyle name="Normal 3 23 15 2 2" xfId="3463"/>
    <cellStyle name="Normal 3 23 15 3" xfId="2830"/>
    <cellStyle name="Normal 3 23 16" xfId="1008"/>
    <cellStyle name="Normal 3 23 16 2" xfId="2068"/>
    <cellStyle name="Normal 3 23 16 2 2" xfId="3464"/>
    <cellStyle name="Normal 3 23 16 3" xfId="2855"/>
    <cellStyle name="Normal 3 23 17" xfId="1051"/>
    <cellStyle name="Normal 3 23 17 2" xfId="2069"/>
    <cellStyle name="Normal 3 23 17 2 2" xfId="3465"/>
    <cellStyle name="Normal 3 23 17 3" xfId="2880"/>
    <cellStyle name="Normal 3 23 18" xfId="1091"/>
    <cellStyle name="Normal 3 23 18 2" xfId="2070"/>
    <cellStyle name="Normal 3 23 18 2 2" xfId="3466"/>
    <cellStyle name="Normal 3 23 18 3" xfId="2905"/>
    <cellStyle name="Normal 3 23 19" xfId="1130"/>
    <cellStyle name="Normal 3 23 19 2" xfId="2071"/>
    <cellStyle name="Normal 3 23 19 2 2" xfId="3467"/>
    <cellStyle name="Normal 3 23 19 3" xfId="2930"/>
    <cellStyle name="Normal 3 23 2" xfId="521"/>
    <cellStyle name="Normal 3 23 2 2" xfId="2072"/>
    <cellStyle name="Normal 3 23 2 2 2" xfId="3468"/>
    <cellStyle name="Normal 3 23 2 3" xfId="2554"/>
    <cellStyle name="Normal 3 23 20" xfId="1169"/>
    <cellStyle name="Normal 3 23 20 2" xfId="2073"/>
    <cellStyle name="Normal 3 23 20 2 2" xfId="3469"/>
    <cellStyle name="Normal 3 23 20 3" xfId="2955"/>
    <cellStyle name="Normal 3 23 21" xfId="1215"/>
    <cellStyle name="Normal 3 23 21 2" xfId="2074"/>
    <cellStyle name="Normal 3 23 21 2 2" xfId="3470"/>
    <cellStyle name="Normal 3 23 21 3" xfId="2979"/>
    <cellStyle name="Normal 3 23 22" xfId="1305"/>
    <cellStyle name="Normal 3 23 22 2" xfId="2075"/>
    <cellStyle name="Normal 3 23 22 2 2" xfId="3471"/>
    <cellStyle name="Normal 3 23 22 3" xfId="3007"/>
    <cellStyle name="Normal 3 23 23" xfId="1346"/>
    <cellStyle name="Normal 3 23 23 2" xfId="2076"/>
    <cellStyle name="Normal 3 23 23 2 2" xfId="3472"/>
    <cellStyle name="Normal 3 23 23 3" xfId="3031"/>
    <cellStyle name="Normal 3 23 24" xfId="1405"/>
    <cellStyle name="Normal 3 23 24 2" xfId="2077"/>
    <cellStyle name="Normal 3 23 24 2 2" xfId="3473"/>
    <cellStyle name="Normal 3 23 24 3" xfId="3056"/>
    <cellStyle name="Normal 3 23 25" xfId="1450"/>
    <cellStyle name="Normal 3 23 25 2" xfId="2078"/>
    <cellStyle name="Normal 3 23 25 2 2" xfId="3474"/>
    <cellStyle name="Normal 3 23 25 3" xfId="3081"/>
    <cellStyle name="Normal 3 23 26" xfId="1499"/>
    <cellStyle name="Normal 3 23 26 2" xfId="2079"/>
    <cellStyle name="Normal 3 23 26 2 2" xfId="3475"/>
    <cellStyle name="Normal 3 23 26 3" xfId="3106"/>
    <cellStyle name="Normal 3 23 27" xfId="2080"/>
    <cellStyle name="Normal 3 23 27 2" xfId="3476"/>
    <cellStyle name="Normal 3 23 28" xfId="2483"/>
    <cellStyle name="Normal 3 23 3" xfId="384"/>
    <cellStyle name="Normal 3 23 3 2" xfId="2081"/>
    <cellStyle name="Normal 3 23 3 2 2" xfId="3477"/>
    <cellStyle name="Normal 3 23 3 3" xfId="2525"/>
    <cellStyle name="Normal 3 23 4" xfId="556"/>
    <cellStyle name="Normal 3 23 4 2" xfId="2082"/>
    <cellStyle name="Normal 3 23 4 2 2" xfId="3478"/>
    <cellStyle name="Normal 3 23 4 3" xfId="2579"/>
    <cellStyle name="Normal 3 23 5" xfId="348"/>
    <cellStyle name="Normal 3 23 5 2" xfId="2083"/>
    <cellStyle name="Normal 3 23 5 2 2" xfId="3479"/>
    <cellStyle name="Normal 3 23 5 3" xfId="2500"/>
    <cellStyle name="Normal 3 23 6" xfId="594"/>
    <cellStyle name="Normal 3 23 6 2" xfId="2084"/>
    <cellStyle name="Normal 3 23 6 2 2" xfId="3480"/>
    <cellStyle name="Normal 3 23 6 3" xfId="2604"/>
    <cellStyle name="Normal 3 23 7" xfId="640"/>
    <cellStyle name="Normal 3 23 7 2" xfId="2085"/>
    <cellStyle name="Normal 3 23 7 2 2" xfId="3481"/>
    <cellStyle name="Normal 3 23 7 3" xfId="2630"/>
    <cellStyle name="Normal 3 23 8" xfId="683"/>
    <cellStyle name="Normal 3 23 8 2" xfId="2086"/>
    <cellStyle name="Normal 3 23 8 2 2" xfId="3482"/>
    <cellStyle name="Normal 3 23 8 3" xfId="2655"/>
    <cellStyle name="Normal 3 23 9" xfId="725"/>
    <cellStyle name="Normal 3 23 9 2" xfId="2087"/>
    <cellStyle name="Normal 3 23 9 2 2" xfId="3483"/>
    <cellStyle name="Normal 3 23 9 3" xfId="2680"/>
    <cellStyle name="Normal 3 24" xfId="242"/>
    <cellStyle name="Normal 3 24 10" xfId="767"/>
    <cellStyle name="Normal 3 24 10 2" xfId="2088"/>
    <cellStyle name="Normal 3 24 10 2 2" xfId="3484"/>
    <cellStyle name="Normal 3 24 10 3" xfId="2706"/>
    <cellStyle name="Normal 3 24 11" xfId="808"/>
    <cellStyle name="Normal 3 24 11 2" xfId="2089"/>
    <cellStyle name="Normal 3 24 11 2 2" xfId="3485"/>
    <cellStyle name="Normal 3 24 11 3" xfId="2731"/>
    <cellStyle name="Normal 3 24 12" xfId="848"/>
    <cellStyle name="Normal 3 24 12 2" xfId="2090"/>
    <cellStyle name="Normal 3 24 12 2 2" xfId="3486"/>
    <cellStyle name="Normal 3 24 12 3" xfId="2756"/>
    <cellStyle name="Normal 3 24 13" xfId="886"/>
    <cellStyle name="Normal 3 24 13 2" xfId="2091"/>
    <cellStyle name="Normal 3 24 13 2 2" xfId="3487"/>
    <cellStyle name="Normal 3 24 13 3" xfId="2781"/>
    <cellStyle name="Normal 3 24 14" xfId="926"/>
    <cellStyle name="Normal 3 24 14 2" xfId="2092"/>
    <cellStyle name="Normal 3 24 14 2 2" xfId="3488"/>
    <cellStyle name="Normal 3 24 14 3" xfId="2806"/>
    <cellStyle name="Normal 3 24 15" xfId="966"/>
    <cellStyle name="Normal 3 24 15 2" xfId="2093"/>
    <cellStyle name="Normal 3 24 15 2 2" xfId="3489"/>
    <cellStyle name="Normal 3 24 15 3" xfId="2831"/>
    <cellStyle name="Normal 3 24 16" xfId="1009"/>
    <cellStyle name="Normal 3 24 16 2" xfId="2094"/>
    <cellStyle name="Normal 3 24 16 2 2" xfId="3490"/>
    <cellStyle name="Normal 3 24 16 3" xfId="2856"/>
    <cellStyle name="Normal 3 24 17" xfId="1052"/>
    <cellStyle name="Normal 3 24 17 2" xfId="2095"/>
    <cellStyle name="Normal 3 24 17 2 2" xfId="3491"/>
    <cellStyle name="Normal 3 24 17 3" xfId="2881"/>
    <cellStyle name="Normal 3 24 18" xfId="1092"/>
    <cellStyle name="Normal 3 24 18 2" xfId="2096"/>
    <cellStyle name="Normal 3 24 18 2 2" xfId="3492"/>
    <cellStyle name="Normal 3 24 18 3" xfId="2906"/>
    <cellStyle name="Normal 3 24 19" xfId="1131"/>
    <cellStyle name="Normal 3 24 19 2" xfId="2097"/>
    <cellStyle name="Normal 3 24 19 2 2" xfId="3493"/>
    <cellStyle name="Normal 3 24 19 3" xfId="2931"/>
    <cellStyle name="Normal 3 24 2" xfId="522"/>
    <cellStyle name="Normal 3 24 2 2" xfId="2098"/>
    <cellStyle name="Normal 3 24 2 2 2" xfId="3494"/>
    <cellStyle name="Normal 3 24 2 3" xfId="2555"/>
    <cellStyle name="Normal 3 24 20" xfId="1170"/>
    <cellStyle name="Normal 3 24 20 2" xfId="2099"/>
    <cellStyle name="Normal 3 24 20 2 2" xfId="3495"/>
    <cellStyle name="Normal 3 24 20 3" xfId="2956"/>
    <cellStyle name="Normal 3 24 21" xfId="1217"/>
    <cellStyle name="Normal 3 24 21 2" xfId="2100"/>
    <cellStyle name="Normal 3 24 21 2 2" xfId="3496"/>
    <cellStyle name="Normal 3 24 21 3" xfId="2980"/>
    <cellStyle name="Normal 3 24 22" xfId="1306"/>
    <cellStyle name="Normal 3 24 22 2" xfId="2101"/>
    <cellStyle name="Normal 3 24 22 2 2" xfId="3497"/>
    <cellStyle name="Normal 3 24 22 3" xfId="3008"/>
    <cellStyle name="Normal 3 24 23" xfId="1347"/>
    <cellStyle name="Normal 3 24 23 2" xfId="2102"/>
    <cellStyle name="Normal 3 24 23 2 2" xfId="3498"/>
    <cellStyle name="Normal 3 24 23 3" xfId="3032"/>
    <cellStyle name="Normal 3 24 24" xfId="1406"/>
    <cellStyle name="Normal 3 24 24 2" xfId="2103"/>
    <cellStyle name="Normal 3 24 24 2 2" xfId="3499"/>
    <cellStyle name="Normal 3 24 24 3" xfId="3057"/>
    <cellStyle name="Normal 3 24 25" xfId="1451"/>
    <cellStyle name="Normal 3 24 25 2" xfId="2104"/>
    <cellStyle name="Normal 3 24 25 2 2" xfId="3500"/>
    <cellStyle name="Normal 3 24 25 3" xfId="3082"/>
    <cellStyle name="Normal 3 24 26" xfId="1500"/>
    <cellStyle name="Normal 3 24 26 2" xfId="2105"/>
    <cellStyle name="Normal 3 24 26 2 2" xfId="3501"/>
    <cellStyle name="Normal 3 24 26 3" xfId="3107"/>
    <cellStyle name="Normal 3 24 27" xfId="2106"/>
    <cellStyle name="Normal 3 24 27 2" xfId="3502"/>
    <cellStyle name="Normal 3 24 28" xfId="2484"/>
    <cellStyle name="Normal 3 24 3" xfId="383"/>
    <cellStyle name="Normal 3 24 3 2" xfId="2107"/>
    <cellStyle name="Normal 3 24 3 2 2" xfId="3503"/>
    <cellStyle name="Normal 3 24 3 3" xfId="2524"/>
    <cellStyle name="Normal 3 24 4" xfId="557"/>
    <cellStyle name="Normal 3 24 4 2" xfId="2108"/>
    <cellStyle name="Normal 3 24 4 2 2" xfId="3504"/>
    <cellStyle name="Normal 3 24 4 3" xfId="2580"/>
    <cellStyle name="Normal 3 24 5" xfId="347"/>
    <cellStyle name="Normal 3 24 5 2" xfId="2109"/>
    <cellStyle name="Normal 3 24 5 2 2" xfId="3505"/>
    <cellStyle name="Normal 3 24 5 3" xfId="2499"/>
    <cellStyle name="Normal 3 24 6" xfId="595"/>
    <cellStyle name="Normal 3 24 6 2" xfId="2110"/>
    <cellStyle name="Normal 3 24 6 2 2" xfId="3506"/>
    <cellStyle name="Normal 3 24 6 3" xfId="2605"/>
    <cellStyle name="Normal 3 24 7" xfId="641"/>
    <cellStyle name="Normal 3 24 7 2" xfId="2111"/>
    <cellStyle name="Normal 3 24 7 2 2" xfId="3507"/>
    <cellStyle name="Normal 3 24 7 3" xfId="2631"/>
    <cellStyle name="Normal 3 24 8" xfId="684"/>
    <cellStyle name="Normal 3 24 8 2" xfId="2112"/>
    <cellStyle name="Normal 3 24 8 2 2" xfId="3508"/>
    <cellStyle name="Normal 3 24 8 3" xfId="2656"/>
    <cellStyle name="Normal 3 24 9" xfId="726"/>
    <cellStyle name="Normal 3 24 9 2" xfId="2113"/>
    <cellStyle name="Normal 3 24 9 2 2" xfId="3509"/>
    <cellStyle name="Normal 3 24 9 3" xfId="2681"/>
    <cellStyle name="Normal 3 25" xfId="255"/>
    <cellStyle name="Normal 3 25 10" xfId="768"/>
    <cellStyle name="Normal 3 25 10 2" xfId="2114"/>
    <cellStyle name="Normal 3 25 10 2 2" xfId="3510"/>
    <cellStyle name="Normal 3 25 10 3" xfId="2707"/>
    <cellStyle name="Normal 3 25 11" xfId="809"/>
    <cellStyle name="Normal 3 25 11 2" xfId="2115"/>
    <cellStyle name="Normal 3 25 11 2 2" xfId="3511"/>
    <cellStyle name="Normal 3 25 11 3" xfId="2732"/>
    <cellStyle name="Normal 3 25 12" xfId="849"/>
    <cellStyle name="Normal 3 25 12 2" xfId="2116"/>
    <cellStyle name="Normal 3 25 12 2 2" xfId="3512"/>
    <cellStyle name="Normal 3 25 12 3" xfId="2757"/>
    <cellStyle name="Normal 3 25 13" xfId="887"/>
    <cellStyle name="Normal 3 25 13 2" xfId="2117"/>
    <cellStyle name="Normal 3 25 13 2 2" xfId="3513"/>
    <cellStyle name="Normal 3 25 13 3" xfId="2782"/>
    <cellStyle name="Normal 3 25 14" xfId="927"/>
    <cellStyle name="Normal 3 25 14 2" xfId="2118"/>
    <cellStyle name="Normal 3 25 14 2 2" xfId="3514"/>
    <cellStyle name="Normal 3 25 14 3" xfId="2807"/>
    <cellStyle name="Normal 3 25 15" xfId="967"/>
    <cellStyle name="Normal 3 25 15 2" xfId="2119"/>
    <cellStyle name="Normal 3 25 15 2 2" xfId="3515"/>
    <cellStyle name="Normal 3 25 15 3" xfId="2832"/>
    <cellStyle name="Normal 3 25 16" xfId="1010"/>
    <cellStyle name="Normal 3 25 16 2" xfId="2120"/>
    <cellStyle name="Normal 3 25 16 2 2" xfId="3516"/>
    <cellStyle name="Normal 3 25 16 3" xfId="2857"/>
    <cellStyle name="Normal 3 25 17" xfId="1053"/>
    <cellStyle name="Normal 3 25 17 2" xfId="2121"/>
    <cellStyle name="Normal 3 25 17 2 2" xfId="3517"/>
    <cellStyle name="Normal 3 25 17 3" xfId="2882"/>
    <cellStyle name="Normal 3 25 18" xfId="1093"/>
    <cellStyle name="Normal 3 25 18 2" xfId="2122"/>
    <cellStyle name="Normal 3 25 18 2 2" xfId="3518"/>
    <cellStyle name="Normal 3 25 18 3" xfId="2907"/>
    <cellStyle name="Normal 3 25 19" xfId="1132"/>
    <cellStyle name="Normal 3 25 19 2" xfId="2123"/>
    <cellStyle name="Normal 3 25 19 2 2" xfId="3519"/>
    <cellStyle name="Normal 3 25 19 3" xfId="2932"/>
    <cellStyle name="Normal 3 25 2" xfId="523"/>
    <cellStyle name="Normal 3 25 2 2" xfId="2124"/>
    <cellStyle name="Normal 3 25 2 2 2" xfId="3520"/>
    <cellStyle name="Normal 3 25 2 3" xfId="2556"/>
    <cellStyle name="Normal 3 25 20" xfId="1171"/>
    <cellStyle name="Normal 3 25 20 2" xfId="2125"/>
    <cellStyle name="Normal 3 25 20 2 2" xfId="3521"/>
    <cellStyle name="Normal 3 25 20 3" xfId="2957"/>
    <cellStyle name="Normal 3 25 21" xfId="1218"/>
    <cellStyle name="Normal 3 25 21 2" xfId="2126"/>
    <cellStyle name="Normal 3 25 21 2 2" xfId="3522"/>
    <cellStyle name="Normal 3 25 21 3" xfId="2981"/>
    <cellStyle name="Normal 3 25 22" xfId="1307"/>
    <cellStyle name="Normal 3 25 22 2" xfId="2127"/>
    <cellStyle name="Normal 3 25 22 2 2" xfId="3523"/>
    <cellStyle name="Normal 3 25 22 3" xfId="3009"/>
    <cellStyle name="Normal 3 25 23" xfId="1348"/>
    <cellStyle name="Normal 3 25 23 2" xfId="2128"/>
    <cellStyle name="Normal 3 25 23 2 2" xfId="3524"/>
    <cellStyle name="Normal 3 25 23 3" xfId="3033"/>
    <cellStyle name="Normal 3 25 24" xfId="1407"/>
    <cellStyle name="Normal 3 25 24 2" xfId="2129"/>
    <cellStyle name="Normal 3 25 24 2 2" xfId="3525"/>
    <cellStyle name="Normal 3 25 24 3" xfId="3058"/>
    <cellStyle name="Normal 3 25 25" xfId="1452"/>
    <cellStyle name="Normal 3 25 25 2" xfId="2130"/>
    <cellStyle name="Normal 3 25 25 2 2" xfId="3526"/>
    <cellStyle name="Normal 3 25 25 3" xfId="3083"/>
    <cellStyle name="Normal 3 25 26" xfId="1501"/>
    <cellStyle name="Normal 3 25 26 2" xfId="2131"/>
    <cellStyle name="Normal 3 25 26 2 2" xfId="3527"/>
    <cellStyle name="Normal 3 25 26 3" xfId="3108"/>
    <cellStyle name="Normal 3 25 27" xfId="2132"/>
    <cellStyle name="Normal 3 25 27 2" xfId="3528"/>
    <cellStyle name="Normal 3 25 28" xfId="2485"/>
    <cellStyle name="Normal 3 25 3" xfId="382"/>
    <cellStyle name="Normal 3 25 3 2" xfId="2133"/>
    <cellStyle name="Normal 3 25 3 2 2" xfId="3529"/>
    <cellStyle name="Normal 3 25 3 3" xfId="2523"/>
    <cellStyle name="Normal 3 25 4" xfId="558"/>
    <cellStyle name="Normal 3 25 4 2" xfId="2134"/>
    <cellStyle name="Normal 3 25 4 2 2" xfId="3530"/>
    <cellStyle name="Normal 3 25 4 3" xfId="2581"/>
    <cellStyle name="Normal 3 25 5" xfId="346"/>
    <cellStyle name="Normal 3 25 5 2" xfId="2135"/>
    <cellStyle name="Normal 3 25 5 2 2" xfId="3531"/>
    <cellStyle name="Normal 3 25 5 3" xfId="2498"/>
    <cellStyle name="Normal 3 25 6" xfId="596"/>
    <cellStyle name="Normal 3 25 6 2" xfId="2136"/>
    <cellStyle name="Normal 3 25 6 2 2" xfId="3532"/>
    <cellStyle name="Normal 3 25 6 3" xfId="2606"/>
    <cellStyle name="Normal 3 25 7" xfId="642"/>
    <cellStyle name="Normal 3 25 7 2" xfId="2137"/>
    <cellStyle name="Normal 3 25 7 2 2" xfId="3533"/>
    <cellStyle name="Normal 3 25 7 3" xfId="2632"/>
    <cellStyle name="Normal 3 25 8" xfId="685"/>
    <cellStyle name="Normal 3 25 8 2" xfId="2138"/>
    <cellStyle name="Normal 3 25 8 2 2" xfId="3534"/>
    <cellStyle name="Normal 3 25 8 3" xfId="2657"/>
    <cellStyle name="Normal 3 25 9" xfId="727"/>
    <cellStyle name="Normal 3 25 9 2" xfId="2139"/>
    <cellStyle name="Normal 3 25 9 2 2" xfId="3535"/>
    <cellStyle name="Normal 3 25 9 3" xfId="2682"/>
    <cellStyle name="Normal 3 26" xfId="268"/>
    <cellStyle name="Normal 3 26 10" xfId="769"/>
    <cellStyle name="Normal 3 26 10 2" xfId="2140"/>
    <cellStyle name="Normal 3 26 10 2 2" xfId="3536"/>
    <cellStyle name="Normal 3 26 10 3" xfId="2708"/>
    <cellStyle name="Normal 3 26 11" xfId="810"/>
    <cellStyle name="Normal 3 26 11 2" xfId="2141"/>
    <cellStyle name="Normal 3 26 11 2 2" xfId="3537"/>
    <cellStyle name="Normal 3 26 11 3" xfId="2733"/>
    <cellStyle name="Normal 3 26 12" xfId="850"/>
    <cellStyle name="Normal 3 26 12 2" xfId="2142"/>
    <cellStyle name="Normal 3 26 12 2 2" xfId="3538"/>
    <cellStyle name="Normal 3 26 12 3" xfId="2758"/>
    <cellStyle name="Normal 3 26 13" xfId="888"/>
    <cellStyle name="Normal 3 26 13 2" xfId="2143"/>
    <cellStyle name="Normal 3 26 13 2 2" xfId="3539"/>
    <cellStyle name="Normal 3 26 13 3" xfId="2783"/>
    <cellStyle name="Normal 3 26 14" xfId="928"/>
    <cellStyle name="Normal 3 26 14 2" xfId="2144"/>
    <cellStyle name="Normal 3 26 14 2 2" xfId="3540"/>
    <cellStyle name="Normal 3 26 14 3" xfId="2808"/>
    <cellStyle name="Normal 3 26 15" xfId="968"/>
    <cellStyle name="Normal 3 26 15 2" xfId="2145"/>
    <cellStyle name="Normal 3 26 15 2 2" xfId="3541"/>
    <cellStyle name="Normal 3 26 15 3" xfId="2833"/>
    <cellStyle name="Normal 3 26 16" xfId="1011"/>
    <cellStyle name="Normal 3 26 16 2" xfId="2146"/>
    <cellStyle name="Normal 3 26 16 2 2" xfId="3542"/>
    <cellStyle name="Normal 3 26 16 3" xfId="2858"/>
    <cellStyle name="Normal 3 26 17" xfId="1054"/>
    <cellStyle name="Normal 3 26 17 2" xfId="2147"/>
    <cellStyle name="Normal 3 26 17 2 2" xfId="3543"/>
    <cellStyle name="Normal 3 26 17 3" xfId="2883"/>
    <cellStyle name="Normal 3 26 18" xfId="1094"/>
    <cellStyle name="Normal 3 26 18 2" xfId="2148"/>
    <cellStyle name="Normal 3 26 18 2 2" xfId="3544"/>
    <cellStyle name="Normal 3 26 18 3" xfId="2908"/>
    <cellStyle name="Normal 3 26 19" xfId="1133"/>
    <cellStyle name="Normal 3 26 19 2" xfId="2149"/>
    <cellStyle name="Normal 3 26 19 2 2" xfId="3545"/>
    <cellStyle name="Normal 3 26 19 3" xfId="2933"/>
    <cellStyle name="Normal 3 26 2" xfId="524"/>
    <cellStyle name="Normal 3 26 2 2" xfId="2150"/>
    <cellStyle name="Normal 3 26 2 2 2" xfId="3546"/>
    <cellStyle name="Normal 3 26 2 3" xfId="2557"/>
    <cellStyle name="Normal 3 26 20" xfId="1172"/>
    <cellStyle name="Normal 3 26 20 2" xfId="2151"/>
    <cellStyle name="Normal 3 26 20 2 2" xfId="3547"/>
    <cellStyle name="Normal 3 26 20 3" xfId="2958"/>
    <cellStyle name="Normal 3 26 21" xfId="1219"/>
    <cellStyle name="Normal 3 26 21 2" xfId="2152"/>
    <cellStyle name="Normal 3 26 21 2 2" xfId="3548"/>
    <cellStyle name="Normal 3 26 21 3" xfId="2982"/>
    <cellStyle name="Normal 3 26 22" xfId="1308"/>
    <cellStyle name="Normal 3 26 22 2" xfId="2153"/>
    <cellStyle name="Normal 3 26 22 2 2" xfId="3549"/>
    <cellStyle name="Normal 3 26 22 3" xfId="3010"/>
    <cellStyle name="Normal 3 26 23" xfId="1350"/>
    <cellStyle name="Normal 3 26 23 2" xfId="2154"/>
    <cellStyle name="Normal 3 26 23 2 2" xfId="3550"/>
    <cellStyle name="Normal 3 26 23 3" xfId="3034"/>
    <cellStyle name="Normal 3 26 24" xfId="1408"/>
    <cellStyle name="Normal 3 26 24 2" xfId="2155"/>
    <cellStyle name="Normal 3 26 24 2 2" xfId="3551"/>
    <cellStyle name="Normal 3 26 24 3" xfId="3059"/>
    <cellStyle name="Normal 3 26 25" xfId="1453"/>
    <cellStyle name="Normal 3 26 25 2" xfId="2156"/>
    <cellStyle name="Normal 3 26 25 2 2" xfId="3552"/>
    <cellStyle name="Normal 3 26 25 3" xfId="3084"/>
    <cellStyle name="Normal 3 26 26" xfId="1502"/>
    <cellStyle name="Normal 3 26 26 2" xfId="2157"/>
    <cellStyle name="Normal 3 26 26 2 2" xfId="3553"/>
    <cellStyle name="Normal 3 26 26 3" xfId="3109"/>
    <cellStyle name="Normal 3 26 27" xfId="2158"/>
    <cellStyle name="Normal 3 26 27 2" xfId="3554"/>
    <cellStyle name="Normal 3 26 28" xfId="2486"/>
    <cellStyle name="Normal 3 26 3" xfId="380"/>
    <cellStyle name="Normal 3 26 3 2" xfId="2159"/>
    <cellStyle name="Normal 3 26 3 2 2" xfId="3555"/>
    <cellStyle name="Normal 3 26 3 3" xfId="2522"/>
    <cellStyle name="Normal 3 26 4" xfId="559"/>
    <cellStyle name="Normal 3 26 4 2" xfId="2160"/>
    <cellStyle name="Normal 3 26 4 2 2" xfId="3556"/>
    <cellStyle name="Normal 3 26 4 3" xfId="2582"/>
    <cellStyle name="Normal 3 26 5" xfId="345"/>
    <cellStyle name="Normal 3 26 5 2" xfId="2161"/>
    <cellStyle name="Normal 3 26 5 2 2" xfId="3557"/>
    <cellStyle name="Normal 3 26 5 3" xfId="2497"/>
    <cellStyle name="Normal 3 26 6" xfId="597"/>
    <cellStyle name="Normal 3 26 6 2" xfId="2162"/>
    <cellStyle name="Normal 3 26 6 2 2" xfId="3558"/>
    <cellStyle name="Normal 3 26 6 3" xfId="2607"/>
    <cellStyle name="Normal 3 26 7" xfId="643"/>
    <cellStyle name="Normal 3 26 7 2" xfId="2163"/>
    <cellStyle name="Normal 3 26 7 2 2" xfId="3559"/>
    <cellStyle name="Normal 3 26 7 3" xfId="2633"/>
    <cellStyle name="Normal 3 26 8" xfId="686"/>
    <cellStyle name="Normal 3 26 8 2" xfId="2164"/>
    <cellStyle name="Normal 3 26 8 2 2" xfId="3560"/>
    <cellStyle name="Normal 3 26 8 3" xfId="2658"/>
    <cellStyle name="Normal 3 26 9" xfId="728"/>
    <cellStyle name="Normal 3 26 9 2" xfId="2165"/>
    <cellStyle name="Normal 3 26 9 2 2" xfId="3561"/>
    <cellStyle name="Normal 3 26 9 3" xfId="2683"/>
    <cellStyle name="Normal 3 27" xfId="281"/>
    <cellStyle name="Normal 3 27 10" xfId="770"/>
    <cellStyle name="Normal 3 27 10 2" xfId="2166"/>
    <cellStyle name="Normal 3 27 10 2 2" xfId="3562"/>
    <cellStyle name="Normal 3 27 10 3" xfId="2709"/>
    <cellStyle name="Normal 3 27 11" xfId="811"/>
    <cellStyle name="Normal 3 27 11 2" xfId="2167"/>
    <cellStyle name="Normal 3 27 11 2 2" xfId="3563"/>
    <cellStyle name="Normal 3 27 11 3" xfId="2734"/>
    <cellStyle name="Normal 3 27 12" xfId="851"/>
    <cellStyle name="Normal 3 27 12 2" xfId="2168"/>
    <cellStyle name="Normal 3 27 12 2 2" xfId="3564"/>
    <cellStyle name="Normal 3 27 12 3" xfId="2759"/>
    <cellStyle name="Normal 3 27 13" xfId="889"/>
    <cellStyle name="Normal 3 27 13 2" xfId="2169"/>
    <cellStyle name="Normal 3 27 13 2 2" xfId="3565"/>
    <cellStyle name="Normal 3 27 13 3" xfId="2784"/>
    <cellStyle name="Normal 3 27 14" xfId="929"/>
    <cellStyle name="Normal 3 27 14 2" xfId="2170"/>
    <cellStyle name="Normal 3 27 14 2 2" xfId="3566"/>
    <cellStyle name="Normal 3 27 14 3" xfId="2809"/>
    <cellStyle name="Normal 3 27 15" xfId="969"/>
    <cellStyle name="Normal 3 27 15 2" xfId="2171"/>
    <cellStyle name="Normal 3 27 15 2 2" xfId="3567"/>
    <cellStyle name="Normal 3 27 15 3" xfId="2834"/>
    <cellStyle name="Normal 3 27 16" xfId="1012"/>
    <cellStyle name="Normal 3 27 16 2" xfId="2172"/>
    <cellStyle name="Normal 3 27 16 2 2" xfId="3568"/>
    <cellStyle name="Normal 3 27 16 3" xfId="2859"/>
    <cellStyle name="Normal 3 27 17" xfId="1055"/>
    <cellStyle name="Normal 3 27 17 2" xfId="2173"/>
    <cellStyle name="Normal 3 27 17 2 2" xfId="3569"/>
    <cellStyle name="Normal 3 27 17 3" xfId="2884"/>
    <cellStyle name="Normal 3 27 18" xfId="1095"/>
    <cellStyle name="Normal 3 27 18 2" xfId="2174"/>
    <cellStyle name="Normal 3 27 18 2 2" xfId="3570"/>
    <cellStyle name="Normal 3 27 18 3" xfId="2909"/>
    <cellStyle name="Normal 3 27 19" xfId="1134"/>
    <cellStyle name="Normal 3 27 19 2" xfId="2175"/>
    <cellStyle name="Normal 3 27 19 2 2" xfId="3571"/>
    <cellStyle name="Normal 3 27 19 3" xfId="2934"/>
    <cellStyle name="Normal 3 27 2" xfId="525"/>
    <cellStyle name="Normal 3 27 2 2" xfId="2176"/>
    <cellStyle name="Normal 3 27 2 2 2" xfId="3572"/>
    <cellStyle name="Normal 3 27 2 3" xfId="2558"/>
    <cellStyle name="Normal 3 27 20" xfId="1173"/>
    <cellStyle name="Normal 3 27 20 2" xfId="2177"/>
    <cellStyle name="Normal 3 27 20 2 2" xfId="3573"/>
    <cellStyle name="Normal 3 27 20 3" xfId="2959"/>
    <cellStyle name="Normal 3 27 21" xfId="1220"/>
    <cellStyle name="Normal 3 27 21 2" xfId="2178"/>
    <cellStyle name="Normal 3 27 21 2 2" xfId="3574"/>
    <cellStyle name="Normal 3 27 21 3" xfId="2983"/>
    <cellStyle name="Normal 3 27 22" xfId="1310"/>
    <cellStyle name="Normal 3 27 22 2" xfId="2179"/>
    <cellStyle name="Normal 3 27 22 2 2" xfId="3575"/>
    <cellStyle name="Normal 3 27 22 3" xfId="3011"/>
    <cellStyle name="Normal 3 27 23" xfId="1351"/>
    <cellStyle name="Normal 3 27 23 2" xfId="2180"/>
    <cellStyle name="Normal 3 27 23 2 2" xfId="3576"/>
    <cellStyle name="Normal 3 27 23 3" xfId="3035"/>
    <cellStyle name="Normal 3 27 24" xfId="1410"/>
    <cellStyle name="Normal 3 27 24 2" xfId="2181"/>
    <cellStyle name="Normal 3 27 24 2 2" xfId="3577"/>
    <cellStyle name="Normal 3 27 24 3" xfId="3060"/>
    <cellStyle name="Normal 3 27 25" xfId="1454"/>
    <cellStyle name="Normal 3 27 25 2" xfId="2182"/>
    <cellStyle name="Normal 3 27 25 2 2" xfId="3578"/>
    <cellStyle name="Normal 3 27 25 3" xfId="3085"/>
    <cellStyle name="Normal 3 27 26" xfId="1503"/>
    <cellStyle name="Normal 3 27 26 2" xfId="2183"/>
    <cellStyle name="Normal 3 27 26 2 2" xfId="3579"/>
    <cellStyle name="Normal 3 27 26 3" xfId="3110"/>
    <cellStyle name="Normal 3 27 27" xfId="2184"/>
    <cellStyle name="Normal 3 27 27 2" xfId="3580"/>
    <cellStyle name="Normal 3 27 28" xfId="2487"/>
    <cellStyle name="Normal 3 27 3" xfId="379"/>
    <cellStyle name="Normal 3 27 3 2" xfId="2185"/>
    <cellStyle name="Normal 3 27 3 2 2" xfId="3581"/>
    <cellStyle name="Normal 3 27 3 3" xfId="2521"/>
    <cellStyle name="Normal 3 27 4" xfId="560"/>
    <cellStyle name="Normal 3 27 4 2" xfId="2186"/>
    <cellStyle name="Normal 3 27 4 2 2" xfId="3582"/>
    <cellStyle name="Normal 3 27 4 3" xfId="2583"/>
    <cellStyle name="Normal 3 27 5" xfId="344"/>
    <cellStyle name="Normal 3 27 5 2" xfId="2187"/>
    <cellStyle name="Normal 3 27 5 2 2" xfId="3583"/>
    <cellStyle name="Normal 3 27 5 3" xfId="2496"/>
    <cellStyle name="Normal 3 27 6" xfId="598"/>
    <cellStyle name="Normal 3 27 6 2" xfId="2188"/>
    <cellStyle name="Normal 3 27 6 2 2" xfId="3584"/>
    <cellStyle name="Normal 3 27 6 3" xfId="2608"/>
    <cellStyle name="Normal 3 27 7" xfId="644"/>
    <cellStyle name="Normal 3 27 7 2" xfId="2189"/>
    <cellStyle name="Normal 3 27 7 2 2" xfId="3585"/>
    <cellStyle name="Normal 3 27 7 3" xfId="2634"/>
    <cellStyle name="Normal 3 27 8" xfId="687"/>
    <cellStyle name="Normal 3 27 8 2" xfId="2190"/>
    <cellStyle name="Normal 3 27 8 2 2" xfId="3586"/>
    <cellStyle name="Normal 3 27 8 3" xfId="2659"/>
    <cellStyle name="Normal 3 27 9" xfId="729"/>
    <cellStyle name="Normal 3 27 9 2" xfId="2191"/>
    <cellStyle name="Normal 3 27 9 2 2" xfId="3587"/>
    <cellStyle name="Normal 3 27 9 3" xfId="2684"/>
    <cellStyle name="Normal 3 28" xfId="294"/>
    <cellStyle name="Normal 3 28 10" xfId="771"/>
    <cellStyle name="Normal 3 28 10 2" xfId="2192"/>
    <cellStyle name="Normal 3 28 10 2 2" xfId="3588"/>
    <cellStyle name="Normal 3 28 10 3" xfId="2710"/>
    <cellStyle name="Normal 3 28 11" xfId="812"/>
    <cellStyle name="Normal 3 28 11 2" xfId="2193"/>
    <cellStyle name="Normal 3 28 11 2 2" xfId="3589"/>
    <cellStyle name="Normal 3 28 11 3" xfId="2735"/>
    <cellStyle name="Normal 3 28 12" xfId="852"/>
    <cellStyle name="Normal 3 28 12 2" xfId="2194"/>
    <cellStyle name="Normal 3 28 12 2 2" xfId="3590"/>
    <cellStyle name="Normal 3 28 12 3" xfId="2760"/>
    <cellStyle name="Normal 3 28 13" xfId="890"/>
    <cellStyle name="Normal 3 28 13 2" xfId="2195"/>
    <cellStyle name="Normal 3 28 13 2 2" xfId="3591"/>
    <cellStyle name="Normal 3 28 13 3" xfId="2785"/>
    <cellStyle name="Normal 3 28 14" xfId="930"/>
    <cellStyle name="Normal 3 28 14 2" xfId="2196"/>
    <cellStyle name="Normal 3 28 14 2 2" xfId="3592"/>
    <cellStyle name="Normal 3 28 14 3" xfId="2810"/>
    <cellStyle name="Normal 3 28 15" xfId="970"/>
    <cellStyle name="Normal 3 28 15 2" xfId="2197"/>
    <cellStyle name="Normal 3 28 15 2 2" xfId="3593"/>
    <cellStyle name="Normal 3 28 15 3" xfId="2835"/>
    <cellStyle name="Normal 3 28 16" xfId="1013"/>
    <cellStyle name="Normal 3 28 16 2" xfId="2198"/>
    <cellStyle name="Normal 3 28 16 2 2" xfId="3594"/>
    <cellStyle name="Normal 3 28 16 3" xfId="2860"/>
    <cellStyle name="Normal 3 28 17" xfId="1056"/>
    <cellStyle name="Normal 3 28 17 2" xfId="2199"/>
    <cellStyle name="Normal 3 28 17 2 2" xfId="3595"/>
    <cellStyle name="Normal 3 28 17 3" xfId="2885"/>
    <cellStyle name="Normal 3 28 18" xfId="1096"/>
    <cellStyle name="Normal 3 28 18 2" xfId="2200"/>
    <cellStyle name="Normal 3 28 18 2 2" xfId="3596"/>
    <cellStyle name="Normal 3 28 18 3" xfId="2910"/>
    <cellStyle name="Normal 3 28 19" xfId="1135"/>
    <cellStyle name="Normal 3 28 19 2" xfId="2201"/>
    <cellStyle name="Normal 3 28 19 2 2" xfId="3597"/>
    <cellStyle name="Normal 3 28 19 3" xfId="2935"/>
    <cellStyle name="Normal 3 28 2" xfId="526"/>
    <cellStyle name="Normal 3 28 2 2" xfId="2202"/>
    <cellStyle name="Normal 3 28 2 2 2" xfId="3598"/>
    <cellStyle name="Normal 3 28 2 3" xfId="2559"/>
    <cellStyle name="Normal 3 28 20" xfId="1174"/>
    <cellStyle name="Normal 3 28 20 2" xfId="2203"/>
    <cellStyle name="Normal 3 28 20 2 2" xfId="3599"/>
    <cellStyle name="Normal 3 28 20 3" xfId="2960"/>
    <cellStyle name="Normal 3 28 21" xfId="1222"/>
    <cellStyle name="Normal 3 28 21 2" xfId="2204"/>
    <cellStyle name="Normal 3 28 21 2 2" xfId="3600"/>
    <cellStyle name="Normal 3 28 21 3" xfId="2984"/>
    <cellStyle name="Normal 3 28 22" xfId="1311"/>
    <cellStyle name="Normal 3 28 22 2" xfId="2205"/>
    <cellStyle name="Normal 3 28 22 2 2" xfId="3601"/>
    <cellStyle name="Normal 3 28 22 3" xfId="3012"/>
    <cellStyle name="Normal 3 28 23" xfId="1352"/>
    <cellStyle name="Normal 3 28 23 2" xfId="2206"/>
    <cellStyle name="Normal 3 28 23 2 2" xfId="3602"/>
    <cellStyle name="Normal 3 28 23 3" xfId="3036"/>
    <cellStyle name="Normal 3 28 24" xfId="1411"/>
    <cellStyle name="Normal 3 28 24 2" xfId="2207"/>
    <cellStyle name="Normal 3 28 24 2 2" xfId="3603"/>
    <cellStyle name="Normal 3 28 24 3" xfId="3061"/>
    <cellStyle name="Normal 3 28 25" xfId="1455"/>
    <cellStyle name="Normal 3 28 25 2" xfId="2208"/>
    <cellStyle name="Normal 3 28 25 2 2" xfId="3604"/>
    <cellStyle name="Normal 3 28 25 3" xfId="3086"/>
    <cellStyle name="Normal 3 28 26" xfId="1504"/>
    <cellStyle name="Normal 3 28 26 2" xfId="2209"/>
    <cellStyle name="Normal 3 28 26 2 2" xfId="3605"/>
    <cellStyle name="Normal 3 28 26 3" xfId="3111"/>
    <cellStyle name="Normal 3 28 27" xfId="2210"/>
    <cellStyle name="Normal 3 28 27 2" xfId="3606"/>
    <cellStyle name="Normal 3 28 28" xfId="2488"/>
    <cellStyle name="Normal 3 28 3" xfId="378"/>
    <cellStyle name="Normal 3 28 3 2" xfId="2211"/>
    <cellStyle name="Normal 3 28 3 2 2" xfId="3607"/>
    <cellStyle name="Normal 3 28 3 3" xfId="2520"/>
    <cellStyle name="Normal 3 28 4" xfId="561"/>
    <cellStyle name="Normal 3 28 4 2" xfId="2212"/>
    <cellStyle name="Normal 3 28 4 2 2" xfId="3608"/>
    <cellStyle name="Normal 3 28 4 3" xfId="2584"/>
    <cellStyle name="Normal 3 28 5" xfId="343"/>
    <cellStyle name="Normal 3 28 5 2" xfId="2213"/>
    <cellStyle name="Normal 3 28 5 2 2" xfId="3609"/>
    <cellStyle name="Normal 3 28 5 3" xfId="2495"/>
    <cellStyle name="Normal 3 28 6" xfId="599"/>
    <cellStyle name="Normal 3 28 6 2" xfId="2214"/>
    <cellStyle name="Normal 3 28 6 2 2" xfId="3610"/>
    <cellStyle name="Normal 3 28 6 3" xfId="2609"/>
    <cellStyle name="Normal 3 28 7" xfId="645"/>
    <cellStyle name="Normal 3 28 7 2" xfId="2215"/>
    <cellStyle name="Normal 3 28 7 2 2" xfId="3611"/>
    <cellStyle name="Normal 3 28 7 3" xfId="2635"/>
    <cellStyle name="Normal 3 28 8" xfId="688"/>
    <cellStyle name="Normal 3 28 8 2" xfId="2216"/>
    <cellStyle name="Normal 3 28 8 2 2" xfId="3612"/>
    <cellStyle name="Normal 3 28 8 3" xfId="2660"/>
    <cellStyle name="Normal 3 28 9" xfId="730"/>
    <cellStyle name="Normal 3 28 9 2" xfId="2217"/>
    <cellStyle name="Normal 3 28 9 2 2" xfId="3613"/>
    <cellStyle name="Normal 3 28 9 3" xfId="2685"/>
    <cellStyle name="Normal 3 29" xfId="307"/>
    <cellStyle name="Normal 3 29 10" xfId="772"/>
    <cellStyle name="Normal 3 29 10 2" xfId="2218"/>
    <cellStyle name="Normal 3 29 10 2 2" xfId="3614"/>
    <cellStyle name="Normal 3 29 10 3" xfId="2711"/>
    <cellStyle name="Normal 3 29 11" xfId="813"/>
    <cellStyle name="Normal 3 29 11 2" xfId="2219"/>
    <cellStyle name="Normal 3 29 11 2 2" xfId="3615"/>
    <cellStyle name="Normal 3 29 11 3" xfId="2736"/>
    <cellStyle name="Normal 3 29 12" xfId="853"/>
    <cellStyle name="Normal 3 29 12 2" xfId="2220"/>
    <cellStyle name="Normal 3 29 12 2 2" xfId="3616"/>
    <cellStyle name="Normal 3 29 12 3" xfId="2761"/>
    <cellStyle name="Normal 3 29 13" xfId="891"/>
    <cellStyle name="Normal 3 29 13 2" xfId="2221"/>
    <cellStyle name="Normal 3 29 13 2 2" xfId="3617"/>
    <cellStyle name="Normal 3 29 13 3" xfId="2786"/>
    <cellStyle name="Normal 3 29 14" xfId="931"/>
    <cellStyle name="Normal 3 29 14 2" xfId="2222"/>
    <cellStyle name="Normal 3 29 14 2 2" xfId="3618"/>
    <cellStyle name="Normal 3 29 14 3" xfId="2811"/>
    <cellStyle name="Normal 3 29 15" xfId="971"/>
    <cellStyle name="Normal 3 29 15 2" xfId="2223"/>
    <cellStyle name="Normal 3 29 15 2 2" xfId="3619"/>
    <cellStyle name="Normal 3 29 15 3" xfId="2836"/>
    <cellStyle name="Normal 3 29 16" xfId="1014"/>
    <cellStyle name="Normal 3 29 16 2" xfId="2224"/>
    <cellStyle name="Normal 3 29 16 2 2" xfId="3620"/>
    <cellStyle name="Normal 3 29 16 3" xfId="2861"/>
    <cellStyle name="Normal 3 29 17" xfId="1057"/>
    <cellStyle name="Normal 3 29 17 2" xfId="2225"/>
    <cellStyle name="Normal 3 29 17 2 2" xfId="3621"/>
    <cellStyle name="Normal 3 29 17 3" xfId="2886"/>
    <cellStyle name="Normal 3 29 18" xfId="1097"/>
    <cellStyle name="Normal 3 29 18 2" xfId="2226"/>
    <cellStyle name="Normal 3 29 18 2 2" xfId="3622"/>
    <cellStyle name="Normal 3 29 18 3" xfId="2911"/>
    <cellStyle name="Normal 3 29 19" xfId="1136"/>
    <cellStyle name="Normal 3 29 19 2" xfId="2227"/>
    <cellStyle name="Normal 3 29 19 2 2" xfId="3623"/>
    <cellStyle name="Normal 3 29 19 3" xfId="2936"/>
    <cellStyle name="Normal 3 29 2" xfId="527"/>
    <cellStyle name="Normal 3 29 2 2" xfId="2228"/>
    <cellStyle name="Normal 3 29 2 2 2" xfId="3624"/>
    <cellStyle name="Normal 3 29 2 3" xfId="2560"/>
    <cellStyle name="Normal 3 29 20" xfId="1176"/>
    <cellStyle name="Normal 3 29 20 2" xfId="2229"/>
    <cellStyle name="Normal 3 29 20 2 2" xfId="3625"/>
    <cellStyle name="Normal 3 29 20 3" xfId="2961"/>
    <cellStyle name="Normal 3 29 21" xfId="1223"/>
    <cellStyle name="Normal 3 29 21 2" xfId="2230"/>
    <cellStyle name="Normal 3 29 21 2 2" xfId="3626"/>
    <cellStyle name="Normal 3 29 21 3" xfId="2985"/>
    <cellStyle name="Normal 3 29 22" xfId="1312"/>
    <cellStyle name="Normal 3 29 22 2" xfId="2231"/>
    <cellStyle name="Normal 3 29 22 2 2" xfId="3627"/>
    <cellStyle name="Normal 3 29 22 3" xfId="3013"/>
    <cellStyle name="Normal 3 29 23" xfId="1353"/>
    <cellStyle name="Normal 3 29 23 2" xfId="2232"/>
    <cellStyle name="Normal 3 29 23 2 2" xfId="3628"/>
    <cellStyle name="Normal 3 29 23 3" xfId="3037"/>
    <cellStyle name="Normal 3 29 24" xfId="1412"/>
    <cellStyle name="Normal 3 29 24 2" xfId="2233"/>
    <cellStyle name="Normal 3 29 24 2 2" xfId="3629"/>
    <cellStyle name="Normal 3 29 24 3" xfId="3062"/>
    <cellStyle name="Normal 3 29 25" xfId="1456"/>
    <cellStyle name="Normal 3 29 25 2" xfId="2234"/>
    <cellStyle name="Normal 3 29 25 2 2" xfId="3630"/>
    <cellStyle name="Normal 3 29 25 3" xfId="3087"/>
    <cellStyle name="Normal 3 29 26" xfId="1505"/>
    <cellStyle name="Normal 3 29 26 2" xfId="2235"/>
    <cellStyle name="Normal 3 29 26 2 2" xfId="3631"/>
    <cellStyle name="Normal 3 29 26 3" xfId="3112"/>
    <cellStyle name="Normal 3 29 27" xfId="2236"/>
    <cellStyle name="Normal 3 29 27 2" xfId="3632"/>
    <cellStyle name="Normal 3 29 28" xfId="2489"/>
    <cellStyle name="Normal 3 29 3" xfId="377"/>
    <cellStyle name="Normal 3 29 3 2" xfId="2237"/>
    <cellStyle name="Normal 3 29 3 2 2" xfId="3633"/>
    <cellStyle name="Normal 3 29 3 3" xfId="2519"/>
    <cellStyle name="Normal 3 29 4" xfId="562"/>
    <cellStyle name="Normal 3 29 4 2" xfId="2238"/>
    <cellStyle name="Normal 3 29 4 2 2" xfId="3634"/>
    <cellStyle name="Normal 3 29 4 3" xfId="2585"/>
    <cellStyle name="Normal 3 29 5" xfId="342"/>
    <cellStyle name="Normal 3 29 5 2" xfId="2239"/>
    <cellStyle name="Normal 3 29 5 2 2" xfId="3635"/>
    <cellStyle name="Normal 3 29 5 3" xfId="2494"/>
    <cellStyle name="Normal 3 29 6" xfId="600"/>
    <cellStyle name="Normal 3 29 6 2" xfId="2240"/>
    <cellStyle name="Normal 3 29 6 2 2" xfId="3636"/>
    <cellStyle name="Normal 3 29 6 3" xfId="2610"/>
    <cellStyle name="Normal 3 29 7" xfId="646"/>
    <cellStyle name="Normal 3 29 7 2" xfId="2241"/>
    <cellStyle name="Normal 3 29 7 2 2" xfId="3637"/>
    <cellStyle name="Normal 3 29 7 3" xfId="2636"/>
    <cellStyle name="Normal 3 29 8" xfId="689"/>
    <cellStyle name="Normal 3 29 8 2" xfId="2242"/>
    <cellStyle name="Normal 3 29 8 2 2" xfId="3638"/>
    <cellStyle name="Normal 3 29 8 3" xfId="2661"/>
    <cellStyle name="Normal 3 29 9" xfId="731"/>
    <cellStyle name="Normal 3 29 9 2" xfId="2243"/>
    <cellStyle name="Normal 3 29 9 2 2" xfId="3639"/>
    <cellStyle name="Normal 3 29 9 3" xfId="2686"/>
    <cellStyle name="Normal 3 3" xfId="9"/>
    <cellStyle name="Normal 3 30" xfId="320"/>
    <cellStyle name="Normal 3 30 10" xfId="774"/>
    <cellStyle name="Normal 3 30 10 2" xfId="2244"/>
    <cellStyle name="Normal 3 30 10 2 2" xfId="3640"/>
    <cellStyle name="Normal 3 30 10 3" xfId="2712"/>
    <cellStyle name="Normal 3 30 11" xfId="816"/>
    <cellStyle name="Normal 3 30 11 2" xfId="2245"/>
    <cellStyle name="Normal 3 30 11 2 2" xfId="3641"/>
    <cellStyle name="Normal 3 30 11 3" xfId="2737"/>
    <cellStyle name="Normal 3 30 12" xfId="855"/>
    <cellStyle name="Normal 3 30 12 2" xfId="2246"/>
    <cellStyle name="Normal 3 30 12 2 2" xfId="3642"/>
    <cellStyle name="Normal 3 30 12 3" xfId="2762"/>
    <cellStyle name="Normal 3 30 13" xfId="894"/>
    <cellStyle name="Normal 3 30 13 2" xfId="2247"/>
    <cellStyle name="Normal 3 30 13 2 2" xfId="3643"/>
    <cellStyle name="Normal 3 30 13 3" xfId="2787"/>
    <cellStyle name="Normal 3 30 14" xfId="933"/>
    <cellStyle name="Normal 3 30 14 2" xfId="2248"/>
    <cellStyle name="Normal 3 30 14 2 2" xfId="3644"/>
    <cellStyle name="Normal 3 30 14 3" xfId="2812"/>
    <cellStyle name="Normal 3 30 15" xfId="974"/>
    <cellStyle name="Normal 3 30 15 2" xfId="2249"/>
    <cellStyle name="Normal 3 30 15 2 2" xfId="3645"/>
    <cellStyle name="Normal 3 30 15 3" xfId="2837"/>
    <cellStyle name="Normal 3 30 16" xfId="1017"/>
    <cellStyle name="Normal 3 30 16 2" xfId="2250"/>
    <cellStyle name="Normal 3 30 16 2 2" xfId="3646"/>
    <cellStyle name="Normal 3 30 16 3" xfId="2862"/>
    <cellStyle name="Normal 3 30 17" xfId="1060"/>
    <cellStyle name="Normal 3 30 17 2" xfId="2251"/>
    <cellStyle name="Normal 3 30 17 2 2" xfId="3647"/>
    <cellStyle name="Normal 3 30 17 3" xfId="2887"/>
    <cellStyle name="Normal 3 30 18" xfId="1100"/>
    <cellStyle name="Normal 3 30 18 2" xfId="2252"/>
    <cellStyle name="Normal 3 30 18 2 2" xfId="3648"/>
    <cellStyle name="Normal 3 30 18 3" xfId="2912"/>
    <cellStyle name="Normal 3 30 19" xfId="1138"/>
    <cellStyle name="Normal 3 30 19 2" xfId="2253"/>
    <cellStyle name="Normal 3 30 19 2 2" xfId="3649"/>
    <cellStyle name="Normal 3 30 19 3" xfId="2937"/>
    <cellStyle name="Normal 3 30 2" xfId="529"/>
    <cellStyle name="Normal 3 30 2 2" xfId="2254"/>
    <cellStyle name="Normal 3 30 2 2 2" xfId="3650"/>
    <cellStyle name="Normal 3 30 2 3" xfId="2561"/>
    <cellStyle name="Normal 3 30 20" xfId="1178"/>
    <cellStyle name="Normal 3 30 20 2" xfId="2255"/>
    <cellStyle name="Normal 3 30 20 2 2" xfId="3651"/>
    <cellStyle name="Normal 3 30 20 3" xfId="2962"/>
    <cellStyle name="Normal 3 30 21" xfId="1225"/>
    <cellStyle name="Normal 3 30 21 2" xfId="2256"/>
    <cellStyle name="Normal 3 30 21 2 2" xfId="3652"/>
    <cellStyle name="Normal 3 30 21 3" xfId="2986"/>
    <cellStyle name="Normal 3 30 22" xfId="1313"/>
    <cellStyle name="Normal 3 30 22 2" xfId="2257"/>
    <cellStyle name="Normal 3 30 22 2 2" xfId="3653"/>
    <cellStyle name="Normal 3 30 22 3" xfId="3014"/>
    <cellStyle name="Normal 3 30 23" xfId="1356"/>
    <cellStyle name="Normal 3 30 23 2" xfId="2258"/>
    <cellStyle name="Normal 3 30 23 2 2" xfId="3654"/>
    <cellStyle name="Normal 3 30 23 3" xfId="3038"/>
    <cellStyle name="Normal 3 30 24" xfId="1414"/>
    <cellStyle name="Normal 3 30 24 2" xfId="2259"/>
    <cellStyle name="Normal 3 30 24 2 2" xfId="3655"/>
    <cellStyle name="Normal 3 30 24 3" xfId="3063"/>
    <cellStyle name="Normal 3 30 25" xfId="1458"/>
    <cellStyle name="Normal 3 30 25 2" xfId="2260"/>
    <cellStyle name="Normal 3 30 25 2 2" xfId="3656"/>
    <cellStyle name="Normal 3 30 25 3" xfId="3088"/>
    <cellStyle name="Normal 3 30 26" xfId="1513"/>
    <cellStyle name="Normal 3 30 26 2" xfId="2261"/>
    <cellStyle name="Normal 3 30 26 2 2" xfId="3657"/>
    <cellStyle name="Normal 3 30 26 3" xfId="3113"/>
    <cellStyle name="Normal 3 30 27" xfId="2262"/>
    <cellStyle name="Normal 3 30 27 2" xfId="3658"/>
    <cellStyle name="Normal 3 30 28" xfId="2490"/>
    <cellStyle name="Normal 3 30 3" xfId="376"/>
    <cellStyle name="Normal 3 30 3 2" xfId="2263"/>
    <cellStyle name="Normal 3 30 3 2 2" xfId="3659"/>
    <cellStyle name="Normal 3 30 3 3" xfId="2518"/>
    <cellStyle name="Normal 3 30 4" xfId="564"/>
    <cellStyle name="Normal 3 30 4 2" xfId="2264"/>
    <cellStyle name="Normal 3 30 4 2 2" xfId="3660"/>
    <cellStyle name="Normal 3 30 4 3" xfId="2586"/>
    <cellStyle name="Normal 3 30 5" xfId="340"/>
    <cellStyle name="Normal 3 30 5 2" xfId="2265"/>
    <cellStyle name="Normal 3 30 5 2 2" xfId="3661"/>
    <cellStyle name="Normal 3 30 5 3" xfId="2493"/>
    <cellStyle name="Normal 3 30 6" xfId="602"/>
    <cellStyle name="Normal 3 30 6 2" xfId="2266"/>
    <cellStyle name="Normal 3 30 6 2 2" xfId="3662"/>
    <cellStyle name="Normal 3 30 6 3" xfId="2611"/>
    <cellStyle name="Normal 3 30 7" xfId="649"/>
    <cellStyle name="Normal 3 30 7 2" xfId="2267"/>
    <cellStyle name="Normal 3 30 7 2 2" xfId="3663"/>
    <cellStyle name="Normal 3 30 7 3" xfId="2637"/>
    <cellStyle name="Normal 3 30 8" xfId="692"/>
    <cellStyle name="Normal 3 30 8 2" xfId="2268"/>
    <cellStyle name="Normal 3 30 8 2 2" xfId="3664"/>
    <cellStyle name="Normal 3 30 8 3" xfId="2662"/>
    <cellStyle name="Normal 3 30 9" xfId="734"/>
    <cellStyle name="Normal 3 30 9 2" xfId="2269"/>
    <cellStyle name="Normal 3 30 9 2 2" xfId="3665"/>
    <cellStyle name="Normal 3 30 9 3" xfId="2687"/>
    <cellStyle name="Normal 3 31" xfId="331"/>
    <cellStyle name="Normal 3 31 10" xfId="775"/>
    <cellStyle name="Normal 3 31 10 2" xfId="2270"/>
    <cellStyle name="Normal 3 31 10 2 2" xfId="3666"/>
    <cellStyle name="Normal 3 31 10 3" xfId="2713"/>
    <cellStyle name="Normal 3 31 11" xfId="817"/>
    <cellStyle name="Normal 3 31 11 2" xfId="2271"/>
    <cellStyle name="Normal 3 31 11 2 2" xfId="3667"/>
    <cellStyle name="Normal 3 31 11 3" xfId="2738"/>
    <cellStyle name="Normal 3 31 12" xfId="856"/>
    <cellStyle name="Normal 3 31 12 2" xfId="2272"/>
    <cellStyle name="Normal 3 31 12 2 2" xfId="3668"/>
    <cellStyle name="Normal 3 31 12 3" xfId="2763"/>
    <cellStyle name="Normal 3 31 13" xfId="895"/>
    <cellStyle name="Normal 3 31 13 2" xfId="2273"/>
    <cellStyle name="Normal 3 31 13 2 2" xfId="3669"/>
    <cellStyle name="Normal 3 31 13 3" xfId="2788"/>
    <cellStyle name="Normal 3 31 14" xfId="934"/>
    <cellStyle name="Normal 3 31 14 2" xfId="2274"/>
    <cellStyle name="Normal 3 31 14 2 2" xfId="3670"/>
    <cellStyle name="Normal 3 31 14 3" xfId="2813"/>
    <cellStyle name="Normal 3 31 15" xfId="975"/>
    <cellStyle name="Normal 3 31 15 2" xfId="2275"/>
    <cellStyle name="Normal 3 31 15 2 2" xfId="3671"/>
    <cellStyle name="Normal 3 31 15 3" xfId="2838"/>
    <cellStyle name="Normal 3 31 16" xfId="1018"/>
    <cellStyle name="Normal 3 31 16 2" xfId="2276"/>
    <cellStyle name="Normal 3 31 16 2 2" xfId="3672"/>
    <cellStyle name="Normal 3 31 16 3" xfId="2863"/>
    <cellStyle name="Normal 3 31 17" xfId="1061"/>
    <cellStyle name="Normal 3 31 17 2" xfId="2277"/>
    <cellStyle name="Normal 3 31 17 2 2" xfId="3673"/>
    <cellStyle name="Normal 3 31 17 3" xfId="2888"/>
    <cellStyle name="Normal 3 31 18" xfId="1101"/>
    <cellStyle name="Normal 3 31 18 2" xfId="2278"/>
    <cellStyle name="Normal 3 31 18 2 2" xfId="3674"/>
    <cellStyle name="Normal 3 31 18 3" xfId="2913"/>
    <cellStyle name="Normal 3 31 19" xfId="1139"/>
    <cellStyle name="Normal 3 31 19 2" xfId="2279"/>
    <cellStyle name="Normal 3 31 19 2 2" xfId="3675"/>
    <cellStyle name="Normal 3 31 19 3" xfId="2938"/>
    <cellStyle name="Normal 3 31 2" xfId="530"/>
    <cellStyle name="Normal 3 31 2 2" xfId="2280"/>
    <cellStyle name="Normal 3 31 2 2 2" xfId="3676"/>
    <cellStyle name="Normal 3 31 2 3" xfId="2562"/>
    <cellStyle name="Normal 3 31 20" xfId="1180"/>
    <cellStyle name="Normal 3 31 20 2" xfId="2281"/>
    <cellStyle name="Normal 3 31 20 2 2" xfId="3677"/>
    <cellStyle name="Normal 3 31 20 3" xfId="2963"/>
    <cellStyle name="Normal 3 31 21" xfId="1226"/>
    <cellStyle name="Normal 3 31 21 2" xfId="2282"/>
    <cellStyle name="Normal 3 31 21 2 2" xfId="3678"/>
    <cellStyle name="Normal 3 31 21 3" xfId="2987"/>
    <cellStyle name="Normal 3 31 22" xfId="1314"/>
    <cellStyle name="Normal 3 31 22 2" xfId="2283"/>
    <cellStyle name="Normal 3 31 22 2 2" xfId="3679"/>
    <cellStyle name="Normal 3 31 22 3" xfId="3015"/>
    <cellStyle name="Normal 3 31 23" xfId="1357"/>
    <cellStyle name="Normal 3 31 23 2" xfId="2284"/>
    <cellStyle name="Normal 3 31 23 2 2" xfId="3680"/>
    <cellStyle name="Normal 3 31 23 3" xfId="3039"/>
    <cellStyle name="Normal 3 31 24" xfId="1415"/>
    <cellStyle name="Normal 3 31 24 2" xfId="2285"/>
    <cellStyle name="Normal 3 31 24 2 2" xfId="3681"/>
    <cellStyle name="Normal 3 31 24 3" xfId="3064"/>
    <cellStyle name="Normal 3 31 25" xfId="1459"/>
    <cellStyle name="Normal 3 31 25 2" xfId="2286"/>
    <cellStyle name="Normal 3 31 25 2 2" xfId="3682"/>
    <cellStyle name="Normal 3 31 25 3" xfId="3089"/>
    <cellStyle name="Normal 3 31 26" xfId="1514"/>
    <cellStyle name="Normal 3 31 26 2" xfId="2287"/>
    <cellStyle name="Normal 3 31 26 2 2" xfId="3683"/>
    <cellStyle name="Normal 3 31 26 3" xfId="3114"/>
    <cellStyle name="Normal 3 31 27" xfId="2288"/>
    <cellStyle name="Normal 3 31 27 2" xfId="3684"/>
    <cellStyle name="Normal 3 31 28" xfId="2491"/>
    <cellStyle name="Normal 3 31 3" xfId="375"/>
    <cellStyle name="Normal 3 31 3 2" xfId="2289"/>
    <cellStyle name="Normal 3 31 3 2 2" xfId="3685"/>
    <cellStyle name="Normal 3 31 3 3" xfId="2517"/>
    <cellStyle name="Normal 3 31 4" xfId="565"/>
    <cellStyle name="Normal 3 31 4 2" xfId="2290"/>
    <cellStyle name="Normal 3 31 4 2 2" xfId="3686"/>
    <cellStyle name="Normal 3 31 4 3" xfId="2587"/>
    <cellStyle name="Normal 3 31 5" xfId="339"/>
    <cellStyle name="Normal 3 31 5 2" xfId="2291"/>
    <cellStyle name="Normal 3 31 5 2 2" xfId="3687"/>
    <cellStyle name="Normal 3 31 5 3" xfId="2492"/>
    <cellStyle name="Normal 3 31 6" xfId="603"/>
    <cellStyle name="Normal 3 31 6 2" xfId="2292"/>
    <cellStyle name="Normal 3 31 6 2 2" xfId="3688"/>
    <cellStyle name="Normal 3 31 6 3" xfId="2612"/>
    <cellStyle name="Normal 3 31 7" xfId="650"/>
    <cellStyle name="Normal 3 31 7 2" xfId="2293"/>
    <cellStyle name="Normal 3 31 7 2 2" xfId="3689"/>
    <cellStyle name="Normal 3 31 7 3" xfId="2638"/>
    <cellStyle name="Normal 3 31 8" xfId="693"/>
    <cellStyle name="Normal 3 31 8 2" xfId="2294"/>
    <cellStyle name="Normal 3 31 8 2 2" xfId="3690"/>
    <cellStyle name="Normal 3 31 8 3" xfId="2663"/>
    <cellStyle name="Normal 3 31 9" xfId="735"/>
    <cellStyle name="Normal 3 31 9 2" xfId="2295"/>
    <cellStyle name="Normal 3 31 9 2 2" xfId="3691"/>
    <cellStyle name="Normal 3 31 9 3" xfId="2688"/>
    <cellStyle name="Normal 3 32" xfId="505"/>
    <cellStyle name="Normal 3 32 2" xfId="2296"/>
    <cellStyle name="Normal 3 32 2 2" xfId="3692"/>
    <cellStyle name="Normal 3 32 3" xfId="2540"/>
    <cellStyle name="Normal 3 33" xfId="400"/>
    <cellStyle name="Normal 3 33 2" xfId="2297"/>
    <cellStyle name="Normal 3 33 2 2" xfId="3693"/>
    <cellStyle name="Normal 3 33 3" xfId="2539"/>
    <cellStyle name="Normal 3 34" xfId="539"/>
    <cellStyle name="Normal 3 34 2" xfId="2298"/>
    <cellStyle name="Normal 3 34 2 2" xfId="3694"/>
    <cellStyle name="Normal 3 34 3" xfId="2565"/>
    <cellStyle name="Normal 3 35" xfId="366"/>
    <cellStyle name="Normal 3 35 2" xfId="2299"/>
    <cellStyle name="Normal 3 35 2 2" xfId="3695"/>
    <cellStyle name="Normal 3 35 3" xfId="2514"/>
    <cellStyle name="Normal 3 36" xfId="575"/>
    <cellStyle name="Normal 3 36 2" xfId="2300"/>
    <cellStyle name="Normal 3 36 2 2" xfId="3696"/>
    <cellStyle name="Normal 3 36 3" xfId="2590"/>
    <cellStyle name="Normal 3 37" xfId="621"/>
    <cellStyle name="Normal 3 37 2" xfId="2301"/>
    <cellStyle name="Normal 3 37 2 2" xfId="3697"/>
    <cellStyle name="Normal 3 37 3" xfId="2616"/>
    <cellStyle name="Normal 3 38" xfId="664"/>
    <cellStyle name="Normal 3 38 2" xfId="2302"/>
    <cellStyle name="Normal 3 38 2 2" xfId="3698"/>
    <cellStyle name="Normal 3 38 3" xfId="2641"/>
    <cellStyle name="Normal 3 39" xfId="706"/>
    <cellStyle name="Normal 3 39 2" xfId="2303"/>
    <cellStyle name="Normal 3 39 2 2" xfId="3699"/>
    <cellStyle name="Normal 3 39 3" xfId="2666"/>
    <cellStyle name="Normal 3 4" xfId="12"/>
    <cellStyle name="Normal 3 40" xfId="747"/>
    <cellStyle name="Normal 3 40 2" xfId="2304"/>
    <cellStyle name="Normal 3 40 2 2" xfId="3700"/>
    <cellStyle name="Normal 3 40 3" xfId="2691"/>
    <cellStyle name="Normal 3 41" xfId="788"/>
    <cellStyle name="Normal 3 41 2" xfId="2305"/>
    <cellStyle name="Normal 3 41 2 2" xfId="3701"/>
    <cellStyle name="Normal 3 41 3" xfId="2716"/>
    <cellStyle name="Normal 3 42" xfId="828"/>
    <cellStyle name="Normal 3 42 2" xfId="2306"/>
    <cellStyle name="Normal 3 42 2 2" xfId="3702"/>
    <cellStyle name="Normal 3 42 3" xfId="2741"/>
    <cellStyle name="Normal 3 43" xfId="866"/>
    <cellStyle name="Normal 3 43 2" xfId="2307"/>
    <cellStyle name="Normal 3 43 2 2" xfId="3703"/>
    <cellStyle name="Normal 3 43 3" xfId="2766"/>
    <cellStyle name="Normal 3 44" xfId="906"/>
    <cellStyle name="Normal 3 44 2" xfId="2308"/>
    <cellStyle name="Normal 3 44 2 2" xfId="3704"/>
    <cellStyle name="Normal 3 44 3" xfId="2791"/>
    <cellStyle name="Normal 3 45" xfId="946"/>
    <cellStyle name="Normal 3 45 2" xfId="2309"/>
    <cellStyle name="Normal 3 45 2 2" xfId="3705"/>
    <cellStyle name="Normal 3 45 3" xfId="2816"/>
    <cellStyle name="Normal 3 46" xfId="989"/>
    <cellStyle name="Normal 3 46 2" xfId="2310"/>
    <cellStyle name="Normal 3 46 2 2" xfId="3706"/>
    <cellStyle name="Normal 3 46 3" xfId="2841"/>
    <cellStyle name="Normal 3 47" xfId="1032"/>
    <cellStyle name="Normal 3 47 2" xfId="2311"/>
    <cellStyle name="Normal 3 47 2 2" xfId="3707"/>
    <cellStyle name="Normal 3 47 3" xfId="2866"/>
    <cellStyle name="Normal 3 48" xfId="1072"/>
    <cellStyle name="Normal 3 48 2" xfId="2312"/>
    <cellStyle name="Normal 3 48 2 2" xfId="3708"/>
    <cellStyle name="Normal 3 48 3" xfId="2891"/>
    <cellStyle name="Normal 3 49" xfId="1111"/>
    <cellStyle name="Normal 3 49 2" xfId="2313"/>
    <cellStyle name="Normal 3 49 2 2" xfId="3709"/>
    <cellStyle name="Normal 3 49 3" xfId="2916"/>
    <cellStyle name="Normal 3 5" xfId="15"/>
    <cellStyle name="Normal 3 50" xfId="1150"/>
    <cellStyle name="Normal 3 50 2" xfId="2314"/>
    <cellStyle name="Normal 3 50 2 2" xfId="3710"/>
    <cellStyle name="Normal 3 50 3" xfId="2941"/>
    <cellStyle name="Normal 3 51" xfId="1197"/>
    <cellStyle name="Normal 3 51 2" xfId="2315"/>
    <cellStyle name="Normal 3 51 2 2" xfId="3711"/>
    <cellStyle name="Normal 3 51 3" xfId="2965"/>
    <cellStyle name="Normal 3 52" xfId="1254"/>
    <cellStyle name="Normal 3 52 2" xfId="2316"/>
    <cellStyle name="Normal 3 52 2 2" xfId="3712"/>
    <cellStyle name="Normal 3 52 3" xfId="2990"/>
    <cellStyle name="Normal 3 53" xfId="1296"/>
    <cellStyle name="Normal 3 53 2" xfId="2317"/>
    <cellStyle name="Normal 3 53 2 2" xfId="3713"/>
    <cellStyle name="Normal 3 53 3" xfId="3001"/>
    <cellStyle name="Normal 3 54" xfId="1388"/>
    <cellStyle name="Normal 3 54 2" xfId="2318"/>
    <cellStyle name="Normal 3 54 2 2" xfId="3714"/>
    <cellStyle name="Normal 3 54 3" xfId="3042"/>
    <cellStyle name="Normal 3 55" xfId="1433"/>
    <cellStyle name="Normal 3 55 2" xfId="2319"/>
    <cellStyle name="Normal 3 55 2 2" xfId="3715"/>
    <cellStyle name="Normal 3 55 3" xfId="3067"/>
    <cellStyle name="Normal 3 56" xfId="1483"/>
    <cellStyle name="Normal 3 56 2" xfId="2320"/>
    <cellStyle name="Normal 3 56 2 2" xfId="3716"/>
    <cellStyle name="Normal 3 56 3" xfId="3092"/>
    <cellStyle name="Normal 3 57" xfId="1588"/>
    <cellStyle name="Normal 3 57 2" xfId="3119"/>
    <cellStyle name="Normal 3 6" xfId="18"/>
    <cellStyle name="Normal 3 7" xfId="21"/>
    <cellStyle name="Normal 3 8" xfId="32"/>
    <cellStyle name="Normal 3 8 10" xfId="780"/>
    <cellStyle name="Normal 3 8 10 2" xfId="2321"/>
    <cellStyle name="Normal 3 8 10 2 2" xfId="3717"/>
    <cellStyle name="Normal 3 8 10 3" xfId="2714"/>
    <cellStyle name="Normal 3 8 11" xfId="822"/>
    <cellStyle name="Normal 3 8 11 2" xfId="2322"/>
    <cellStyle name="Normal 3 8 11 2 2" xfId="3718"/>
    <cellStyle name="Normal 3 8 11 3" xfId="2739"/>
    <cellStyle name="Normal 3 8 12" xfId="860"/>
    <cellStyle name="Normal 3 8 12 2" xfId="2323"/>
    <cellStyle name="Normal 3 8 12 2 2" xfId="3719"/>
    <cellStyle name="Normal 3 8 12 3" xfId="2764"/>
    <cellStyle name="Normal 3 8 13" xfId="899"/>
    <cellStyle name="Normal 3 8 13 2" xfId="2324"/>
    <cellStyle name="Normal 3 8 13 2 2" xfId="3720"/>
    <cellStyle name="Normal 3 8 13 3" xfId="2789"/>
    <cellStyle name="Normal 3 8 14" xfId="938"/>
    <cellStyle name="Normal 3 8 14 2" xfId="2325"/>
    <cellStyle name="Normal 3 8 14 2 2" xfId="3721"/>
    <cellStyle name="Normal 3 8 14 3" xfId="2814"/>
    <cellStyle name="Normal 3 8 15" xfId="981"/>
    <cellStyle name="Normal 3 8 15 2" xfId="2326"/>
    <cellStyle name="Normal 3 8 15 2 2" xfId="3722"/>
    <cellStyle name="Normal 3 8 15 3" xfId="2839"/>
    <cellStyle name="Normal 3 8 16" xfId="1024"/>
    <cellStyle name="Normal 3 8 16 2" xfId="2327"/>
    <cellStyle name="Normal 3 8 16 2 2" xfId="3723"/>
    <cellStyle name="Normal 3 8 16 3" xfId="2864"/>
    <cellStyle name="Normal 3 8 17" xfId="1065"/>
    <cellStyle name="Normal 3 8 17 2" xfId="2328"/>
    <cellStyle name="Normal 3 8 17 2 2" xfId="3724"/>
    <cellStyle name="Normal 3 8 17 3" xfId="2889"/>
    <cellStyle name="Normal 3 8 18" xfId="1106"/>
    <cellStyle name="Normal 3 8 18 2" xfId="2329"/>
    <cellStyle name="Normal 3 8 18 2 2" xfId="3725"/>
    <cellStyle name="Normal 3 8 18 3" xfId="2914"/>
    <cellStyle name="Normal 3 8 19" xfId="1144"/>
    <cellStyle name="Normal 3 8 19 2" xfId="2330"/>
    <cellStyle name="Normal 3 8 19 2 2" xfId="3726"/>
    <cellStyle name="Normal 3 8 19 3" xfId="2939"/>
    <cellStyle name="Normal 3 8 2" xfId="534"/>
    <cellStyle name="Normal 3 8 2 2" xfId="2331"/>
    <cellStyle name="Normal 3 8 2 2 2" xfId="3727"/>
    <cellStyle name="Normal 3 8 2 3" xfId="2563"/>
    <cellStyle name="Normal 3 8 20" xfId="1229"/>
    <cellStyle name="Normal 3 8 20 2" xfId="2332"/>
    <cellStyle name="Normal 3 8 20 2 2" xfId="3728"/>
    <cellStyle name="Normal 3 8 20 3" xfId="2988"/>
    <cellStyle name="Normal 3 8 21" xfId="1270"/>
    <cellStyle name="Normal 3 8 21 2" xfId="2333"/>
    <cellStyle name="Normal 3 8 21 2 2" xfId="3729"/>
    <cellStyle name="Normal 3 8 21 3" xfId="2999"/>
    <cellStyle name="Normal 3 8 22" xfId="1318"/>
    <cellStyle name="Normal 3 8 22 2" xfId="2334"/>
    <cellStyle name="Normal 3 8 22 2 2" xfId="3730"/>
    <cellStyle name="Normal 3 8 22 3" xfId="3016"/>
    <cellStyle name="Normal 3 8 23" xfId="1359"/>
    <cellStyle name="Normal 3 8 23 2" xfId="2335"/>
    <cellStyle name="Normal 3 8 23 2 2" xfId="3731"/>
    <cellStyle name="Normal 3 8 23 3" xfId="3040"/>
    <cellStyle name="Normal 3 8 24" xfId="1416"/>
    <cellStyle name="Normal 3 8 24 2" xfId="2336"/>
    <cellStyle name="Normal 3 8 24 2 2" xfId="3732"/>
    <cellStyle name="Normal 3 8 24 3" xfId="3065"/>
    <cellStyle name="Normal 3 8 25" xfId="1461"/>
    <cellStyle name="Normal 3 8 25 2" xfId="2337"/>
    <cellStyle name="Normal 3 8 25 2 2" xfId="3733"/>
    <cellStyle name="Normal 3 8 25 3" xfId="3090"/>
    <cellStyle name="Normal 3 8 26" xfId="1515"/>
    <cellStyle name="Normal 3 8 26 2" xfId="2338"/>
    <cellStyle name="Normal 3 8 26 2 2" xfId="3734"/>
    <cellStyle name="Normal 3 8 26 3" xfId="3115"/>
    <cellStyle name="Normal 3 8 27" xfId="2339"/>
    <cellStyle name="Normal 3 8 27 2" xfId="3735"/>
    <cellStyle name="Normal 3 8 28" xfId="2468"/>
    <cellStyle name="Normal 3 8 3" xfId="371"/>
    <cellStyle name="Normal 3 8 3 2" xfId="2340"/>
    <cellStyle name="Normal 3 8 3 2 2" xfId="3736"/>
    <cellStyle name="Normal 3 8 3 3" xfId="2516"/>
    <cellStyle name="Normal 3 8 4" xfId="570"/>
    <cellStyle name="Normal 3 8 4 2" xfId="2341"/>
    <cellStyle name="Normal 3 8 4 2 2" xfId="3737"/>
    <cellStyle name="Normal 3 8 4 3" xfId="2588"/>
    <cellStyle name="Normal 3 8 5" xfId="615"/>
    <cellStyle name="Normal 3 8 5 2" xfId="2342"/>
    <cellStyle name="Normal 3 8 5 2 2" xfId="3738"/>
    <cellStyle name="Normal 3 8 5 3" xfId="2614"/>
    <cellStyle name="Normal 3 8 6" xfId="609"/>
    <cellStyle name="Normal 3 8 6 2" xfId="2343"/>
    <cellStyle name="Normal 3 8 6 2 2" xfId="3739"/>
    <cellStyle name="Normal 3 8 6 3" xfId="2613"/>
    <cellStyle name="Normal 3 8 7" xfId="656"/>
    <cellStyle name="Normal 3 8 7 2" xfId="2344"/>
    <cellStyle name="Normal 3 8 7 2 2" xfId="3740"/>
    <cellStyle name="Normal 3 8 7 3" xfId="2639"/>
    <cellStyle name="Normal 3 8 8" xfId="698"/>
    <cellStyle name="Normal 3 8 8 2" xfId="2345"/>
    <cellStyle name="Normal 3 8 8 2 2" xfId="3741"/>
    <cellStyle name="Normal 3 8 8 3" xfId="2664"/>
    <cellStyle name="Normal 3 8 9" xfId="741"/>
    <cellStyle name="Normal 3 8 9 2" xfId="2346"/>
    <cellStyle name="Normal 3 8 9 2 2" xfId="3742"/>
    <cellStyle name="Normal 3 8 9 3" xfId="2689"/>
    <cellStyle name="Normal 3 9" xfId="47"/>
    <cellStyle name="Normal 3 9 10" xfId="825"/>
    <cellStyle name="Normal 3 9 10 2" xfId="2347"/>
    <cellStyle name="Normal 3 9 10 2 2" xfId="3743"/>
    <cellStyle name="Normal 3 9 10 3" xfId="2740"/>
    <cellStyle name="Normal 3 9 11" xfId="863"/>
    <cellStyle name="Normal 3 9 11 2" xfId="2348"/>
    <cellStyle name="Normal 3 9 11 2 2" xfId="3744"/>
    <cellStyle name="Normal 3 9 11 3" xfId="2765"/>
    <cellStyle name="Normal 3 9 12" xfId="902"/>
    <cellStyle name="Normal 3 9 12 2" xfId="2349"/>
    <cellStyle name="Normal 3 9 12 2 2" xfId="3745"/>
    <cellStyle name="Normal 3 9 12 3" xfId="2790"/>
    <cellStyle name="Normal 3 9 13" xfId="941"/>
    <cellStyle name="Normal 3 9 13 2" xfId="2350"/>
    <cellStyle name="Normal 3 9 13 2 2" xfId="3746"/>
    <cellStyle name="Normal 3 9 13 3" xfId="2815"/>
    <cellStyle name="Normal 3 9 14" xfId="984"/>
    <cellStyle name="Normal 3 9 14 2" xfId="2351"/>
    <cellStyle name="Normal 3 9 14 2 2" xfId="3747"/>
    <cellStyle name="Normal 3 9 14 3" xfId="2840"/>
    <cellStyle name="Normal 3 9 15" xfId="1027"/>
    <cellStyle name="Normal 3 9 15 2" xfId="2352"/>
    <cellStyle name="Normal 3 9 15 2 2" xfId="3748"/>
    <cellStyle name="Normal 3 9 15 3" xfId="2865"/>
    <cellStyle name="Normal 3 9 16" xfId="1068"/>
    <cellStyle name="Normal 3 9 16 2" xfId="2353"/>
    <cellStyle name="Normal 3 9 16 2 2" xfId="3749"/>
    <cellStyle name="Normal 3 9 16 3" xfId="2890"/>
    <cellStyle name="Normal 3 9 17" xfId="1109"/>
    <cellStyle name="Normal 3 9 17 2" xfId="2354"/>
    <cellStyle name="Normal 3 9 17 2 2" xfId="3750"/>
    <cellStyle name="Normal 3 9 17 3" xfId="2915"/>
    <cellStyle name="Normal 3 9 18" xfId="1147"/>
    <cellStyle name="Normal 3 9 18 2" xfId="2355"/>
    <cellStyle name="Normal 3 9 18 2 2" xfId="3751"/>
    <cellStyle name="Normal 3 9 18 3" xfId="2940"/>
    <cellStyle name="Normal 3 9 19" xfId="1186"/>
    <cellStyle name="Normal 3 9 19 2" xfId="2356"/>
    <cellStyle name="Normal 3 9 19 2 2" xfId="3752"/>
    <cellStyle name="Normal 3 9 19 3" xfId="2964"/>
    <cellStyle name="Normal 3 9 2" xfId="535"/>
    <cellStyle name="Normal 3 9 2 2" xfId="2357"/>
    <cellStyle name="Normal 3 9 2 2 2" xfId="3753"/>
    <cellStyle name="Normal 3 9 2 3" xfId="2564"/>
    <cellStyle name="Normal 3 9 20" xfId="1230"/>
    <cellStyle name="Normal 3 9 20 2" xfId="2358"/>
    <cellStyle name="Normal 3 9 20 2 2" xfId="3754"/>
    <cellStyle name="Normal 3 9 20 3" xfId="2989"/>
    <cellStyle name="Normal 3 9 21" xfId="1271"/>
    <cellStyle name="Normal 3 9 21 2" xfId="2359"/>
    <cellStyle name="Normal 3 9 21 2 2" xfId="3755"/>
    <cellStyle name="Normal 3 9 21 3" xfId="3000"/>
    <cellStyle name="Normal 3 9 22" xfId="1319"/>
    <cellStyle name="Normal 3 9 22 2" xfId="2360"/>
    <cellStyle name="Normal 3 9 22 2 2" xfId="3756"/>
    <cellStyle name="Normal 3 9 22 3" xfId="3017"/>
    <cellStyle name="Normal 3 9 23" xfId="1360"/>
    <cellStyle name="Normal 3 9 23 2" xfId="2361"/>
    <cellStyle name="Normal 3 9 23 2 2" xfId="3757"/>
    <cellStyle name="Normal 3 9 23 3" xfId="3041"/>
    <cellStyle name="Normal 3 9 24" xfId="1417"/>
    <cellStyle name="Normal 3 9 24 2" xfId="2362"/>
    <cellStyle name="Normal 3 9 24 2 2" xfId="3758"/>
    <cellStyle name="Normal 3 9 24 3" xfId="3066"/>
    <cellStyle name="Normal 3 9 25" xfId="1462"/>
    <cellStyle name="Normal 3 9 25 2" xfId="2363"/>
    <cellStyle name="Normal 3 9 25 2 2" xfId="3759"/>
    <cellStyle name="Normal 3 9 25 3" xfId="3091"/>
    <cellStyle name="Normal 3 9 26" xfId="1516"/>
    <cellStyle name="Normal 3 9 26 2" xfId="2364"/>
    <cellStyle name="Normal 3 9 26 2 2" xfId="3760"/>
    <cellStyle name="Normal 3 9 26 3" xfId="3116"/>
    <cellStyle name="Normal 3 9 27" xfId="2365"/>
    <cellStyle name="Normal 3 9 27 2" xfId="3761"/>
    <cellStyle name="Normal 3 9 28" xfId="2469"/>
    <cellStyle name="Normal 3 9 3" xfId="370"/>
    <cellStyle name="Normal 3 9 3 2" xfId="2366"/>
    <cellStyle name="Normal 3 9 3 2 2" xfId="3762"/>
    <cellStyle name="Normal 3 9 3 3" xfId="2515"/>
    <cellStyle name="Normal 3 9 4" xfId="571"/>
    <cellStyle name="Normal 3 9 4 2" xfId="2367"/>
    <cellStyle name="Normal 3 9 4 2 2" xfId="3763"/>
    <cellStyle name="Normal 3 9 4 3" xfId="2589"/>
    <cellStyle name="Normal 3 9 5" xfId="616"/>
    <cellStyle name="Normal 3 9 5 2" xfId="2368"/>
    <cellStyle name="Normal 3 9 5 2 2" xfId="3764"/>
    <cellStyle name="Normal 3 9 5 3" xfId="2615"/>
    <cellStyle name="Normal 3 9 6" xfId="659"/>
    <cellStyle name="Normal 3 9 6 2" xfId="2369"/>
    <cellStyle name="Normal 3 9 6 2 2" xfId="3765"/>
    <cellStyle name="Normal 3 9 6 3" xfId="2640"/>
    <cellStyle name="Normal 3 9 7" xfId="701"/>
    <cellStyle name="Normal 3 9 7 2" xfId="2370"/>
    <cellStyle name="Normal 3 9 7 2 2" xfId="3766"/>
    <cellStyle name="Normal 3 9 7 3" xfId="2665"/>
    <cellStyle name="Normal 3 9 8" xfId="744"/>
    <cellStyle name="Normal 3 9 8 2" xfId="2371"/>
    <cellStyle name="Normal 3 9 8 2 2" xfId="3767"/>
    <cellStyle name="Normal 3 9 8 3" xfId="2690"/>
    <cellStyle name="Normal 3 9 9" xfId="783"/>
    <cellStyle name="Normal 3 9 9 2" xfId="2372"/>
    <cellStyle name="Normal 3 9 9 2 2" xfId="3768"/>
    <cellStyle name="Normal 3 9 9 3" xfId="2715"/>
    <cellStyle name="Normal 30" xfId="700"/>
    <cellStyle name="Normal 30 2" xfId="2373"/>
    <cellStyle name="Normal 30 2 2" xfId="2374"/>
    <cellStyle name="Normal 31" xfId="743"/>
    <cellStyle name="Normal 31 2" xfId="2375"/>
    <cellStyle name="Normal 31 2 2" xfId="2376"/>
    <cellStyle name="Normal 32" xfId="782"/>
    <cellStyle name="Normal 32 2" xfId="2377"/>
    <cellStyle name="Normal 32 2 2" xfId="2378"/>
    <cellStyle name="Normal 33" xfId="824"/>
    <cellStyle name="Normal 33 2" xfId="2379"/>
    <cellStyle name="Normal 33 2 2" xfId="2380"/>
    <cellStyle name="Normal 34" xfId="862"/>
    <cellStyle name="Normal 34 2" xfId="2381"/>
    <cellStyle name="Normal 34 2 2" xfId="2382"/>
    <cellStyle name="Normal 35" xfId="901"/>
    <cellStyle name="Normal 35 2" xfId="2383"/>
    <cellStyle name="Normal 35 2 2" xfId="2384"/>
    <cellStyle name="Normal 36" xfId="940"/>
    <cellStyle name="Normal 36 2" xfId="2385"/>
    <cellStyle name="Normal 36 2 2" xfId="2386"/>
    <cellStyle name="Normal 37" xfId="983"/>
    <cellStyle name="Normal 37 2" xfId="2387"/>
    <cellStyle name="Normal 37 2 2" xfId="2388"/>
    <cellStyle name="Normal 37 3" xfId="3776"/>
    <cellStyle name="Normal 38" xfId="1026"/>
    <cellStyle name="Normal 38 2" xfId="2389"/>
    <cellStyle name="Normal 38 2 2" xfId="2390"/>
    <cellStyle name="Normal 39" xfId="1067"/>
    <cellStyle name="Normal 39 2" xfId="2391"/>
    <cellStyle name="Normal 39 2 2" xfId="2392"/>
    <cellStyle name="Normal 4" xfId="36"/>
    <cellStyle name="Normal 4 2" xfId="536"/>
    <cellStyle name="Normal 4 2 2" xfId="1272"/>
    <cellStyle name="Normal 4 2 3" xfId="1320"/>
    <cellStyle name="Normal 4 2 4" xfId="1361"/>
    <cellStyle name="Normal 4 2 5" xfId="1418"/>
    <cellStyle name="Normal 4 2 6" xfId="1463"/>
    <cellStyle name="Normal 4 2 7" xfId="1517"/>
    <cellStyle name="Normal 4 2 8" xfId="2393"/>
    <cellStyle name="Normal 4 3" xfId="2394"/>
    <cellStyle name="Normal 40" xfId="1108"/>
    <cellStyle name="Normal 40 2" xfId="2395"/>
    <cellStyle name="Normal 40 3" xfId="2396"/>
    <cellStyle name="Normal 40 4" xfId="3773"/>
    <cellStyle name="Normal 41" xfId="1146"/>
    <cellStyle name="Normal 41 2" xfId="2397"/>
    <cellStyle name="Normal 41 2 2" xfId="2398"/>
    <cellStyle name="Normal 42" xfId="1185"/>
    <cellStyle name="Normal 42 2" xfId="2399"/>
    <cellStyle name="Normal 42 2 2" xfId="2400"/>
    <cellStyle name="Normal 43" xfId="1228"/>
    <cellStyle name="Normal 43 2" xfId="2401"/>
    <cellStyle name="Normal 43 2 2" xfId="2402"/>
    <cellStyle name="Normal 44" xfId="1265"/>
    <cellStyle name="Normal 44 2" xfId="2403"/>
    <cellStyle name="Normal 44 2 2" xfId="2404"/>
    <cellStyle name="Normal 45" xfId="1298"/>
    <cellStyle name="Normal 45 2" xfId="2405"/>
    <cellStyle name="Normal 45 2 2" xfId="2406"/>
    <cellStyle name="Normal 46" xfId="1329"/>
    <cellStyle name="Normal 47" xfId="1526"/>
    <cellStyle name="Normal 47 2" xfId="3117"/>
    <cellStyle name="Normal 48" xfId="1528"/>
    <cellStyle name="Normal 49" xfId="2407"/>
    <cellStyle name="Normal 5" xfId="48"/>
    <cellStyle name="Normal 5 2" xfId="1273"/>
    <cellStyle name="Normal 5 2 2" xfId="2408"/>
    <cellStyle name="Normal 5 3" xfId="1321"/>
    <cellStyle name="Normal 5 4" xfId="1362"/>
    <cellStyle name="Normal 5 5" xfId="1419"/>
    <cellStyle name="Normal 5 6" xfId="1464"/>
    <cellStyle name="Normal 5 7" xfId="1518"/>
    <cellStyle name="Normal 5 8" xfId="2409"/>
    <cellStyle name="Normal 5 9" xfId="2410"/>
    <cellStyle name="Normal 50" xfId="2411"/>
    <cellStyle name="Normal 51" xfId="2412"/>
    <cellStyle name="Normal 52" xfId="2413"/>
    <cellStyle name="Normal 53" xfId="2414"/>
    <cellStyle name="Normal 54" xfId="2415"/>
    <cellStyle name="Normal 55" xfId="2416"/>
    <cellStyle name="Normal 56" xfId="2417"/>
    <cellStyle name="Normal 57" xfId="2418"/>
    <cellStyle name="Normal 58" xfId="2419"/>
    <cellStyle name="Normal 59" xfId="2420"/>
    <cellStyle name="Normal 6" xfId="61"/>
    <cellStyle name="Normal 6 2" xfId="1274"/>
    <cellStyle name="Normal 6 3" xfId="1322"/>
    <cellStyle name="Normal 6 4" xfId="1363"/>
    <cellStyle name="Normal 6 5" xfId="1420"/>
    <cellStyle name="Normal 6 6" xfId="1465"/>
    <cellStyle name="Normal 6 7" xfId="1519"/>
    <cellStyle name="Normal 6 8" xfId="2421"/>
    <cellStyle name="Normal 60" xfId="2422"/>
    <cellStyle name="Normal 61" xfId="2423"/>
    <cellStyle name="Normal 62" xfId="2424"/>
    <cellStyle name="Normal 63" xfId="2425"/>
    <cellStyle name="Normal 64" xfId="2426"/>
    <cellStyle name="Normal 65" xfId="2427"/>
    <cellStyle name="Normal 66" xfId="2428"/>
    <cellStyle name="Normal 67" xfId="2429"/>
    <cellStyle name="Normal 68" xfId="2430"/>
    <cellStyle name="Normal 69" xfId="2431"/>
    <cellStyle name="Normal 7" xfId="74"/>
    <cellStyle name="Normal 7 2" xfId="1275"/>
    <cellStyle name="Normal 7 3" xfId="1323"/>
    <cellStyle name="Normal 7 4" xfId="1364"/>
    <cellStyle name="Normal 7 5" xfId="1421"/>
    <cellStyle name="Normal 7 6" xfId="1466"/>
    <cellStyle name="Normal 7 7" xfId="1520"/>
    <cellStyle name="Normal 7 8" xfId="2432"/>
    <cellStyle name="Normal 70" xfId="2433"/>
    <cellStyle name="Normal 71" xfId="2434"/>
    <cellStyle name="Normal 72" xfId="2435"/>
    <cellStyle name="Normal 73" xfId="2436"/>
    <cellStyle name="Normal 74" xfId="2437"/>
    <cellStyle name="Normal 75" xfId="2438"/>
    <cellStyle name="Normal 76" xfId="2439"/>
    <cellStyle name="Normal 77" xfId="2440"/>
    <cellStyle name="Normal 78" xfId="2441"/>
    <cellStyle name="Normal 79" xfId="2442"/>
    <cellStyle name="Normal 8" xfId="87"/>
    <cellStyle name="Normal 8 2" xfId="1276"/>
    <cellStyle name="Normal 8 2 2" xfId="2443"/>
    <cellStyle name="Normal 8 3" xfId="1324"/>
    <cellStyle name="Normal 8 4" xfId="1365"/>
    <cellStyle name="Normal 8 5" xfId="1422"/>
    <cellStyle name="Normal 8 6" xfId="1467"/>
    <cellStyle name="Normal 8 7" xfId="1521"/>
    <cellStyle name="Normal 8 8" xfId="2444"/>
    <cellStyle name="Normal 8 9" xfId="2445"/>
    <cellStyle name="Normal 80" xfId="2446"/>
    <cellStyle name="Normal 81" xfId="2447"/>
    <cellStyle name="Normal 82" xfId="2448"/>
    <cellStyle name="Normal 83" xfId="2449"/>
    <cellStyle name="Normal 84" xfId="2450"/>
    <cellStyle name="Normal 85" xfId="2451"/>
    <cellStyle name="Normal 86" xfId="2452"/>
    <cellStyle name="Normal 87" xfId="2453"/>
    <cellStyle name="Normal 88" xfId="2454"/>
    <cellStyle name="Normal 89" xfId="2455"/>
    <cellStyle name="Normal 9" xfId="100"/>
    <cellStyle name="Normal 9 2" xfId="1277"/>
    <cellStyle name="Normal 9 3" xfId="1325"/>
    <cellStyle name="Normal 9 4" xfId="1366"/>
    <cellStyle name="Normal 9 5" xfId="1423"/>
    <cellStyle name="Normal 9 6" xfId="1507"/>
    <cellStyle name="Normal 9 7" xfId="1522"/>
    <cellStyle name="Normal 9 8" xfId="2456"/>
    <cellStyle name="Normal 90" xfId="2457"/>
    <cellStyle name="Normal 91" xfId="2458"/>
    <cellStyle name="Normal 92" xfId="2459"/>
    <cellStyle name="Normal 93" xfId="2460"/>
    <cellStyle name="Normal 94" xfId="2461"/>
    <cellStyle name="Normal 95" xfId="2462"/>
    <cellStyle name="Normal 96" xfId="2463"/>
    <cellStyle name="Normal 97" xfId="2464"/>
    <cellStyle name="Normal 98" xfId="2465"/>
    <cellStyle name="Normal 99" xfId="2466"/>
    <cellStyle name="Notas 10" xfId="137"/>
    <cellStyle name="Notas 11" xfId="151"/>
    <cellStyle name="Notas 12" xfId="166"/>
    <cellStyle name="Notas 13" xfId="179"/>
    <cellStyle name="Notas 14" xfId="192"/>
    <cellStyle name="Notas 15" xfId="205"/>
    <cellStyle name="Notas 16" xfId="218"/>
    <cellStyle name="Notas 17" xfId="231"/>
    <cellStyle name="Notas 18" xfId="244"/>
    <cellStyle name="Notas 19" xfId="257"/>
    <cellStyle name="Notas 2" xfId="33"/>
    <cellStyle name="Notas 20" xfId="270"/>
    <cellStyle name="Notas 21" xfId="283"/>
    <cellStyle name="Notas 22" xfId="296"/>
    <cellStyle name="Notas 23" xfId="309"/>
    <cellStyle name="Notas 24" xfId="322"/>
    <cellStyle name="Notas 25" xfId="332"/>
    <cellStyle name="Notas 26" xfId="542"/>
    <cellStyle name="Notas 27" xfId="363"/>
    <cellStyle name="Notas 28" xfId="578"/>
    <cellStyle name="Notas 29" xfId="624"/>
    <cellStyle name="Notas 3" xfId="49"/>
    <cellStyle name="Notas 30" xfId="667"/>
    <cellStyle name="Notas 31" xfId="709"/>
    <cellStyle name="Notas 32" xfId="750"/>
    <cellStyle name="Notas 33" xfId="791"/>
    <cellStyle name="Notas 34" xfId="831"/>
    <cellStyle name="Notas 35" xfId="869"/>
    <cellStyle name="Notas 36" xfId="909"/>
    <cellStyle name="Notas 37" xfId="949"/>
    <cellStyle name="Notas 38" xfId="992"/>
    <cellStyle name="Notas 39" xfId="1035"/>
    <cellStyle name="Notas 4" xfId="62"/>
    <cellStyle name="Notas 40" xfId="1075"/>
    <cellStyle name="Notas 41" xfId="1114"/>
    <cellStyle name="Notas 42" xfId="1152"/>
    <cellStyle name="Notas 43" xfId="1194"/>
    <cellStyle name="Notas 44" xfId="1238"/>
    <cellStyle name="Notas 45" xfId="1279"/>
    <cellStyle name="Notas 46" xfId="1327"/>
    <cellStyle name="Notas 47" xfId="1367"/>
    <cellStyle name="Notas 48" xfId="1469"/>
    <cellStyle name="Notas 49" xfId="1508"/>
    <cellStyle name="Notas 5" xfId="75"/>
    <cellStyle name="Notas 50" xfId="1523"/>
    <cellStyle name="Notas 6" xfId="88"/>
    <cellStyle name="Notas 7" xfId="101"/>
    <cellStyle name="Notas 8" xfId="114"/>
    <cellStyle name="Notas 9" xfId="127"/>
    <cellStyle name="Porcentaje" xfId="3" builtinId="5"/>
    <cellStyle name="Porcentaje 2" xfId="1530"/>
    <cellStyle name="Porcentaje 3" xfId="3772"/>
    <cellStyle name="Porcentaje 3 2" xfId="3774"/>
    <cellStyle name="Porcentual 2" xfId="2467"/>
    <cellStyle name="Texto de advertencia 10" xfId="138"/>
    <cellStyle name="Texto de advertencia 11" xfId="152"/>
    <cellStyle name="Texto de advertencia 12" xfId="167"/>
    <cellStyle name="Texto de advertencia 13" xfId="180"/>
    <cellStyle name="Texto de advertencia 14" xfId="193"/>
    <cellStyle name="Texto de advertencia 15" xfId="206"/>
    <cellStyle name="Texto de advertencia 16" xfId="219"/>
    <cellStyle name="Texto de advertencia 17" xfId="232"/>
    <cellStyle name="Texto de advertencia 18" xfId="245"/>
    <cellStyle name="Texto de advertencia 19" xfId="258"/>
    <cellStyle name="Texto de advertencia 2" xfId="34"/>
    <cellStyle name="Texto de advertencia 20" xfId="271"/>
    <cellStyle name="Texto de advertencia 21" xfId="284"/>
    <cellStyle name="Texto de advertencia 22" xfId="297"/>
    <cellStyle name="Texto de advertencia 23" xfId="310"/>
    <cellStyle name="Texto de advertencia 24" xfId="323"/>
    <cellStyle name="Texto de advertencia 25" xfId="333"/>
    <cellStyle name="Texto de advertencia 26" xfId="566"/>
    <cellStyle name="Texto de advertencia 27" xfId="338"/>
    <cellStyle name="Texto de advertencia 28" xfId="604"/>
    <cellStyle name="Texto de advertencia 29" xfId="651"/>
    <cellStyle name="Texto de advertencia 3" xfId="50"/>
    <cellStyle name="Texto de advertencia 30" xfId="694"/>
    <cellStyle name="Texto de advertencia 31" xfId="736"/>
    <cellStyle name="Texto de advertencia 32" xfId="776"/>
    <cellStyle name="Texto de advertencia 33" xfId="818"/>
    <cellStyle name="Texto de advertencia 34" xfId="857"/>
    <cellStyle name="Texto de advertencia 35" xfId="896"/>
    <cellStyle name="Texto de advertencia 36" xfId="935"/>
    <cellStyle name="Texto de advertencia 37" xfId="976"/>
    <cellStyle name="Texto de advertencia 38" xfId="1019"/>
    <cellStyle name="Texto de advertencia 39" xfId="1062"/>
    <cellStyle name="Texto de advertencia 4" xfId="63"/>
    <cellStyle name="Texto de advertencia 40" xfId="1102"/>
    <cellStyle name="Texto de advertencia 41" xfId="1140"/>
    <cellStyle name="Texto de advertencia 42" xfId="1179"/>
    <cellStyle name="Texto de advertencia 43" xfId="1221"/>
    <cellStyle name="Texto de advertencia 44" xfId="1259"/>
    <cellStyle name="Texto de advertencia 45" xfId="1330"/>
    <cellStyle name="Texto de advertencia 46" xfId="1384"/>
    <cellStyle name="Texto de advertencia 47" xfId="1434"/>
    <cellStyle name="Texto de advertencia 48" xfId="1474"/>
    <cellStyle name="Texto de advertencia 49" xfId="1510"/>
    <cellStyle name="Texto de advertencia 5" xfId="76"/>
    <cellStyle name="Texto de advertencia 50" xfId="1524"/>
    <cellStyle name="Texto de advertencia 6" xfId="89"/>
    <cellStyle name="Texto de advertencia 7" xfId="102"/>
    <cellStyle name="Texto de advertencia 8" xfId="115"/>
    <cellStyle name="Texto de advertencia 9" xfId="128"/>
    <cellStyle name="Total 10" xfId="139"/>
    <cellStyle name="Total 11" xfId="153"/>
    <cellStyle name="Total 12" xfId="168"/>
    <cellStyle name="Total 13" xfId="181"/>
    <cellStyle name="Total 14" xfId="194"/>
    <cellStyle name="Total 15" xfId="207"/>
    <cellStyle name="Total 16" xfId="220"/>
    <cellStyle name="Total 17" xfId="233"/>
    <cellStyle name="Total 18" xfId="246"/>
    <cellStyle name="Total 19" xfId="259"/>
    <cellStyle name="Total 2" xfId="35"/>
    <cellStyle name="Total 2 2" xfId="1589"/>
    <cellStyle name="Total 2 3" xfId="1590"/>
    <cellStyle name="Total 2 4" xfId="1591"/>
    <cellStyle name="Total 20" xfId="272"/>
    <cellStyle name="Total 21" xfId="285"/>
    <cellStyle name="Total 22" xfId="298"/>
    <cellStyle name="Total 23" xfId="311"/>
    <cellStyle name="Total 24" xfId="324"/>
    <cellStyle name="Total 25" xfId="334"/>
    <cellStyle name="Total 26" xfId="589"/>
    <cellStyle name="Total 27" xfId="635"/>
    <cellStyle name="Total 28" xfId="678"/>
    <cellStyle name="Total 29" xfId="720"/>
    <cellStyle name="Total 3" xfId="51"/>
    <cellStyle name="Total 30" xfId="761"/>
    <cellStyle name="Total 31" xfId="802"/>
    <cellStyle name="Total 32" xfId="842"/>
    <cellStyle name="Total 33" xfId="880"/>
    <cellStyle name="Total 34" xfId="920"/>
    <cellStyle name="Total 35" xfId="960"/>
    <cellStyle name="Total 36" xfId="1003"/>
    <cellStyle name="Total 37" xfId="1046"/>
    <cellStyle name="Total 38" xfId="1086"/>
    <cellStyle name="Total 39" xfId="1125"/>
    <cellStyle name="Total 4" xfId="64"/>
    <cellStyle name="Total 40" xfId="1163"/>
    <cellStyle name="Total 41" xfId="1205"/>
    <cellStyle name="Total 42" xfId="1244"/>
    <cellStyle name="Total 43" xfId="1285"/>
    <cellStyle name="Total 44" xfId="1315"/>
    <cellStyle name="Total 45" xfId="1355"/>
    <cellStyle name="Total 46" xfId="1409"/>
    <cellStyle name="Total 47" xfId="1457"/>
    <cellStyle name="Total 48" xfId="1494"/>
    <cellStyle name="Total 49" xfId="1512"/>
    <cellStyle name="Total 5" xfId="77"/>
    <cellStyle name="Total 50" xfId="1525"/>
    <cellStyle name="Total 6" xfId="90"/>
    <cellStyle name="Total 7" xfId="103"/>
    <cellStyle name="Total 8" xfId="116"/>
    <cellStyle name="Total 9" xfId="129"/>
  </cellStyles>
  <dxfs count="0"/>
  <tableStyles count="3" defaultTableStyle="TableStyleMedium9" defaultPivotStyle="PivotStyleLight16">
    <tableStyle name="Estilo de tabla 1" pivot="0" count="0"/>
    <tableStyle name="Estilo de tabla 2" pivot="0" count="0"/>
    <tableStyle name="Estilo de tabla 3" pivot="0" count="0"/>
  </tableStyles>
  <colors>
    <mruColors>
      <color rgb="FFE4ED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0</xdr:row>
      <xdr:rowOff>134471</xdr:rowOff>
    </xdr:from>
    <xdr:to>
      <xdr:col>1</xdr:col>
      <xdr:colOff>100853</xdr:colOff>
      <xdr:row>0</xdr:row>
      <xdr:rowOff>571499</xdr:rowOff>
    </xdr:to>
    <xdr:pic>
      <xdr:nvPicPr>
        <xdr:cNvPr id="4" name="Picture 1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35" y="134471"/>
          <a:ext cx="1423147" cy="4370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21167</xdr:colOff>
      <xdr:row>0</xdr:row>
      <xdr:rowOff>158750</xdr:rowOff>
    </xdr:from>
    <xdr:to>
      <xdr:col>7</xdr:col>
      <xdr:colOff>808075</xdr:colOff>
      <xdr:row>2</xdr:row>
      <xdr:rowOff>11206</xdr:rowOff>
    </xdr:to>
    <xdr:pic>
      <xdr:nvPicPr>
        <xdr:cNvPr id="2" name="Picture 1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91343" y="158750"/>
          <a:ext cx="3128938" cy="8721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78442</xdr:rowOff>
    </xdr:from>
    <xdr:to>
      <xdr:col>1</xdr:col>
      <xdr:colOff>954158</xdr:colOff>
      <xdr:row>0</xdr:row>
      <xdr:rowOff>481853</xdr:rowOff>
    </xdr:to>
    <xdr:pic>
      <xdr:nvPicPr>
        <xdr:cNvPr id="2" name="Picture 1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059" y="78442"/>
          <a:ext cx="1447217" cy="4034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661145</xdr:colOff>
      <xdr:row>65</xdr:row>
      <xdr:rowOff>33617</xdr:rowOff>
    </xdr:from>
    <xdr:to>
      <xdr:col>10</xdr:col>
      <xdr:colOff>782562</xdr:colOff>
      <xdr:row>68</xdr:row>
      <xdr:rowOff>115957</xdr:rowOff>
    </xdr:to>
    <xdr:pic>
      <xdr:nvPicPr>
        <xdr:cNvPr id="2" name="Picture 1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29015" y="13418313"/>
          <a:ext cx="1993286" cy="579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661145</xdr:colOff>
      <xdr:row>5</xdr:row>
      <xdr:rowOff>33617</xdr:rowOff>
    </xdr:from>
    <xdr:to>
      <xdr:col>8</xdr:col>
      <xdr:colOff>782562</xdr:colOff>
      <xdr:row>8</xdr:row>
      <xdr:rowOff>77856</xdr:rowOff>
    </xdr:to>
    <xdr:pic>
      <xdr:nvPicPr>
        <xdr:cNvPr id="2" name="Picture 13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43070" y="13292417"/>
          <a:ext cx="1988316" cy="568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161925</xdr:rowOff>
    </xdr:from>
    <xdr:to>
      <xdr:col>8</xdr:col>
      <xdr:colOff>1003305</xdr:colOff>
      <xdr:row>2</xdr:row>
      <xdr:rowOff>266700</xdr:rowOff>
    </xdr:to>
    <xdr:pic>
      <xdr:nvPicPr>
        <xdr:cNvPr id="3" name="Picture 13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0" y="323850"/>
          <a:ext cx="161290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ELEC\planificacio\Regulacion-%20PRPD\Presentaciones\RESUMEN-MENSUAL-PRSEMI-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nmanp303-e\mdocumentos\FERUMM\FERUM%202014\FORMATO%20PLAN%20DE%20INVERSION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nmanp303-e\FERUMM\FERUM%202014\FORMULARIOS%20DE%20INVERSIONES%202014\FORMULARIO%20DE%20PLAN%20DE%20INVERSIONES%202014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ELEC\planificacio\ANUAL\ene01-dic01\Resumen%2099-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ba\tarifas\Mis%20documentos\NORMITA\sierraDIC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ba\tarifas\Mis%20documentos\sierraa&#241;o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-Resumen"/>
      <sheetName val="PR-T-F"/>
      <sheetName val="DESPACHOS"/>
    </sheetNames>
    <sheetDataSet>
      <sheetData sheetId="0" refreshError="1"/>
      <sheetData sheetId="1" refreshError="1"/>
      <sheetData sheetId="2" refreshError="1">
        <row r="5">
          <cell r="C5" t="str">
            <v xml:space="preserve">H-PAUTE </v>
          </cell>
          <cell r="D5" t="str">
            <v>H-PUCARA</v>
          </cell>
          <cell r="E5" t="str">
            <v>H-NACION</v>
          </cell>
          <cell r="F5" t="str">
            <v>E-TRINIT</v>
          </cell>
          <cell r="G5" t="str">
            <v>IN-COLOM</v>
          </cell>
          <cell r="H5" t="str">
            <v xml:space="preserve">T-ESMER </v>
          </cell>
          <cell r="I5" t="str">
            <v>E.GZ.TV3</v>
          </cell>
          <cell r="J5" t="str">
            <v>E.GZ.TV2</v>
          </cell>
          <cell r="K5" t="str">
            <v>CSURDES1</v>
          </cell>
          <cell r="L5" t="str">
            <v>CSURDES2</v>
          </cell>
          <cell r="M5" t="str">
            <v>CSURDES3</v>
          </cell>
          <cell r="N5" t="str">
            <v>CSURDES4</v>
          </cell>
          <cell r="O5" t="str">
            <v xml:space="preserve">EQL3-U3 </v>
          </cell>
          <cell r="P5" t="str">
            <v>ELEC-AT1</v>
          </cell>
          <cell r="Q5" t="str">
            <v xml:space="preserve">EQL3-U4 </v>
          </cell>
          <cell r="R5" t="str">
            <v>E.VASANT</v>
          </cell>
          <cell r="S5" t="str">
            <v xml:space="preserve">EQL2-U2 </v>
          </cell>
          <cell r="T5" t="str">
            <v xml:space="preserve">SUR-CA6 </v>
          </cell>
          <cell r="U5" t="str">
            <v xml:space="preserve">EQL2-U1 </v>
          </cell>
          <cell r="V5" t="str">
            <v>TPGUANG1</v>
          </cell>
          <cell r="W5" t="str">
            <v>TPGUANG2</v>
          </cell>
          <cell r="X5" t="str">
            <v>TPGUANG3</v>
          </cell>
          <cell r="Y5" t="str">
            <v>TPGUANG4</v>
          </cell>
          <cell r="Z5" t="str">
            <v>TPGUANG5</v>
          </cell>
          <cell r="AA5" t="str">
            <v>TPGUANG6</v>
          </cell>
          <cell r="AB5" t="str">
            <v>G.HERNA1</v>
          </cell>
          <cell r="AC5" t="str">
            <v>G.HERNA2</v>
          </cell>
          <cell r="AD5" t="str">
            <v>G.HERNA3</v>
          </cell>
          <cell r="AE5" t="str">
            <v>G.HERNA4</v>
          </cell>
          <cell r="AF5" t="str">
            <v>G.HERNA5</v>
          </cell>
          <cell r="AG5" t="str">
            <v>G.HERNA6</v>
          </cell>
          <cell r="AH5" t="str">
            <v>VGQL1-U1</v>
          </cell>
          <cell r="AI5" t="str">
            <v xml:space="preserve">ECORP   </v>
          </cell>
          <cell r="AJ5" t="str">
            <v>VGQL1-U2</v>
          </cell>
          <cell r="AK5" t="str">
            <v>VGQL2-U3</v>
          </cell>
          <cell r="AL5" t="str">
            <v>VGQL2-U4</v>
          </cell>
          <cell r="AM5" t="str">
            <v>AGOYAN_H</v>
          </cell>
          <cell r="AN5" t="str">
            <v>EEQ_HIDR</v>
          </cell>
          <cell r="AO5" t="str">
            <v xml:space="preserve">C-SUR_H </v>
          </cell>
          <cell r="AP5" t="str">
            <v>RIOBAM_H</v>
          </cell>
          <cell r="AQ5" t="str">
            <v>COTOPX_H</v>
          </cell>
          <cell r="AR5" t="str">
            <v>RNORTE_H</v>
          </cell>
          <cell r="AS5" t="str">
            <v>AMBATO_H</v>
          </cell>
          <cell r="AT5" t="str">
            <v>BOLIVR_H</v>
          </cell>
          <cell r="AU5" t="str">
            <v xml:space="preserve">R-SUR_H </v>
          </cell>
        </row>
        <row r="7">
          <cell r="C7">
            <v>267.99</v>
          </cell>
          <cell r="D7">
            <v>0</v>
          </cell>
          <cell r="E7">
            <v>0</v>
          </cell>
          <cell r="F7">
            <v>90.98</v>
          </cell>
          <cell r="G7">
            <v>0</v>
          </cell>
          <cell r="H7">
            <v>119.92</v>
          </cell>
          <cell r="I7">
            <v>69.08</v>
          </cell>
          <cell r="J7">
            <v>69.08</v>
          </cell>
          <cell r="K7">
            <v>3.6</v>
          </cell>
          <cell r="L7">
            <v>3.6</v>
          </cell>
          <cell r="M7">
            <v>3.6</v>
          </cell>
          <cell r="N7">
            <v>3.6</v>
          </cell>
          <cell r="O7">
            <v>41.45</v>
          </cell>
          <cell r="P7">
            <v>33.700000000000003</v>
          </cell>
          <cell r="Q7">
            <v>41.45</v>
          </cell>
          <cell r="R7">
            <v>32.68</v>
          </cell>
          <cell r="S7">
            <v>23.81</v>
          </cell>
          <cell r="T7">
            <v>0</v>
          </cell>
          <cell r="U7">
            <v>0</v>
          </cell>
          <cell r="V7">
            <v>4.68</v>
          </cell>
          <cell r="W7">
            <v>4.1500000000000004</v>
          </cell>
          <cell r="X7">
            <v>4.68</v>
          </cell>
          <cell r="Y7">
            <v>4.68</v>
          </cell>
          <cell r="Z7">
            <v>4.68</v>
          </cell>
          <cell r="AA7">
            <v>4.68</v>
          </cell>
          <cell r="AB7">
            <v>5.04</v>
          </cell>
          <cell r="AC7">
            <v>5.04</v>
          </cell>
          <cell r="AD7">
            <v>5.04</v>
          </cell>
          <cell r="AE7">
            <v>5.04</v>
          </cell>
          <cell r="AF7">
            <v>5.04</v>
          </cell>
          <cell r="AG7">
            <v>5.04</v>
          </cell>
          <cell r="AH7">
            <v>4.7300000000000004</v>
          </cell>
          <cell r="AI7">
            <v>0</v>
          </cell>
          <cell r="AJ7">
            <v>4.7300000000000004</v>
          </cell>
          <cell r="AK7">
            <v>9.18</v>
          </cell>
          <cell r="AL7">
            <v>9.18</v>
          </cell>
          <cell r="AM7">
            <v>60</v>
          </cell>
          <cell r="AN7">
            <v>27.8</v>
          </cell>
          <cell r="AO7">
            <v>12</v>
          </cell>
          <cell r="AP7">
            <v>10.16</v>
          </cell>
          <cell r="AQ7">
            <v>2.5</v>
          </cell>
          <cell r="AR7">
            <v>3</v>
          </cell>
          <cell r="AS7">
            <v>1.07</v>
          </cell>
          <cell r="AT7">
            <v>0.3</v>
          </cell>
          <cell r="AU7">
            <v>0.9</v>
          </cell>
        </row>
        <row r="8">
          <cell r="C8">
            <v>239.97</v>
          </cell>
          <cell r="D8">
            <v>0</v>
          </cell>
          <cell r="E8">
            <v>0</v>
          </cell>
          <cell r="F8">
            <v>90.98</v>
          </cell>
          <cell r="G8">
            <v>0</v>
          </cell>
          <cell r="H8">
            <v>119.92</v>
          </cell>
          <cell r="I8">
            <v>69.08</v>
          </cell>
          <cell r="J8">
            <v>69.08</v>
          </cell>
          <cell r="K8">
            <v>3.6</v>
          </cell>
          <cell r="L8">
            <v>3.6</v>
          </cell>
          <cell r="M8">
            <v>3.6</v>
          </cell>
          <cell r="N8">
            <v>3.6</v>
          </cell>
          <cell r="O8">
            <v>41.45</v>
          </cell>
          <cell r="P8">
            <v>33.700000000000003</v>
          </cell>
          <cell r="Q8">
            <v>41.45</v>
          </cell>
          <cell r="R8">
            <v>32.68</v>
          </cell>
          <cell r="S8">
            <v>19.41</v>
          </cell>
          <cell r="T8">
            <v>0</v>
          </cell>
          <cell r="U8">
            <v>0</v>
          </cell>
          <cell r="V8">
            <v>4.68</v>
          </cell>
          <cell r="W8">
            <v>4.1500000000000004</v>
          </cell>
          <cell r="X8">
            <v>4.68</v>
          </cell>
          <cell r="Y8">
            <v>4.68</v>
          </cell>
          <cell r="Z8">
            <v>4.68</v>
          </cell>
          <cell r="AA8">
            <v>4.68</v>
          </cell>
          <cell r="AB8">
            <v>5.04</v>
          </cell>
          <cell r="AC8">
            <v>5.04</v>
          </cell>
          <cell r="AD8">
            <v>5.04</v>
          </cell>
          <cell r="AE8">
            <v>5.04</v>
          </cell>
          <cell r="AF8">
            <v>5.04</v>
          </cell>
          <cell r="AG8">
            <v>5.04</v>
          </cell>
          <cell r="AH8">
            <v>4.7300000000000004</v>
          </cell>
          <cell r="AI8">
            <v>0</v>
          </cell>
          <cell r="AJ8">
            <v>4.7300000000000004</v>
          </cell>
          <cell r="AK8">
            <v>9.18</v>
          </cell>
          <cell r="AL8">
            <v>9.18</v>
          </cell>
          <cell r="AM8">
            <v>60</v>
          </cell>
          <cell r="AN8">
            <v>27.8</v>
          </cell>
          <cell r="AO8">
            <v>12</v>
          </cell>
          <cell r="AP8">
            <v>10.16</v>
          </cell>
          <cell r="AQ8">
            <v>2.5</v>
          </cell>
          <cell r="AR8">
            <v>3</v>
          </cell>
          <cell r="AS8">
            <v>1.07</v>
          </cell>
          <cell r="AT8">
            <v>0.3</v>
          </cell>
          <cell r="AU8">
            <v>0.9</v>
          </cell>
        </row>
        <row r="9">
          <cell r="C9">
            <v>211.93</v>
          </cell>
          <cell r="D9">
            <v>0</v>
          </cell>
          <cell r="E9">
            <v>0</v>
          </cell>
          <cell r="F9">
            <v>90.98</v>
          </cell>
          <cell r="G9">
            <v>0</v>
          </cell>
          <cell r="H9">
            <v>119.92</v>
          </cell>
          <cell r="I9">
            <v>69.08</v>
          </cell>
          <cell r="J9">
            <v>69.08</v>
          </cell>
          <cell r="K9">
            <v>3.6</v>
          </cell>
          <cell r="L9">
            <v>3.6</v>
          </cell>
          <cell r="M9">
            <v>3.6</v>
          </cell>
          <cell r="N9">
            <v>3.6</v>
          </cell>
          <cell r="O9">
            <v>41.45</v>
          </cell>
          <cell r="P9">
            <v>33.700000000000003</v>
          </cell>
          <cell r="Q9">
            <v>41.45</v>
          </cell>
          <cell r="R9">
            <v>32.68</v>
          </cell>
          <cell r="S9">
            <v>15.01</v>
          </cell>
          <cell r="T9">
            <v>0</v>
          </cell>
          <cell r="U9">
            <v>0</v>
          </cell>
          <cell r="V9">
            <v>4.68</v>
          </cell>
          <cell r="W9">
            <v>4.1500000000000004</v>
          </cell>
          <cell r="X9">
            <v>4.68</v>
          </cell>
          <cell r="Y9">
            <v>4.68</v>
          </cell>
          <cell r="Z9">
            <v>4.68</v>
          </cell>
          <cell r="AA9">
            <v>4.68</v>
          </cell>
          <cell r="AB9">
            <v>5.04</v>
          </cell>
          <cell r="AC9">
            <v>5.04</v>
          </cell>
          <cell r="AD9">
            <v>5.04</v>
          </cell>
          <cell r="AE9">
            <v>5.04</v>
          </cell>
          <cell r="AF9">
            <v>5.04</v>
          </cell>
          <cell r="AG9">
            <v>5.04</v>
          </cell>
          <cell r="AH9">
            <v>4.7300000000000004</v>
          </cell>
          <cell r="AI9">
            <v>0</v>
          </cell>
          <cell r="AJ9">
            <v>4.7300000000000004</v>
          </cell>
          <cell r="AK9">
            <v>9.18</v>
          </cell>
          <cell r="AL9">
            <v>9.18</v>
          </cell>
          <cell r="AM9">
            <v>60</v>
          </cell>
          <cell r="AN9">
            <v>27.8</v>
          </cell>
          <cell r="AO9">
            <v>12</v>
          </cell>
          <cell r="AP9">
            <v>10.16</v>
          </cell>
          <cell r="AQ9">
            <v>2.5</v>
          </cell>
          <cell r="AR9">
            <v>3</v>
          </cell>
          <cell r="AS9">
            <v>1.07</v>
          </cell>
          <cell r="AT9">
            <v>0.3</v>
          </cell>
          <cell r="AU9">
            <v>0.9</v>
          </cell>
        </row>
        <row r="10">
          <cell r="C10">
            <v>217.41</v>
          </cell>
          <cell r="D10">
            <v>0</v>
          </cell>
          <cell r="E10">
            <v>0</v>
          </cell>
          <cell r="F10">
            <v>90.98</v>
          </cell>
          <cell r="G10">
            <v>0</v>
          </cell>
          <cell r="H10">
            <v>119.92</v>
          </cell>
          <cell r="I10">
            <v>69.08</v>
          </cell>
          <cell r="J10">
            <v>69.08</v>
          </cell>
          <cell r="K10">
            <v>3.6</v>
          </cell>
          <cell r="L10">
            <v>3.6</v>
          </cell>
          <cell r="M10">
            <v>3.6</v>
          </cell>
          <cell r="N10">
            <v>3.6</v>
          </cell>
          <cell r="O10">
            <v>41.45</v>
          </cell>
          <cell r="P10">
            <v>33.700000000000003</v>
          </cell>
          <cell r="Q10">
            <v>41.45</v>
          </cell>
          <cell r="R10">
            <v>32.68</v>
          </cell>
          <cell r="S10">
            <v>15.87</v>
          </cell>
          <cell r="T10">
            <v>0</v>
          </cell>
          <cell r="U10">
            <v>0</v>
          </cell>
          <cell r="V10">
            <v>4.68</v>
          </cell>
          <cell r="W10">
            <v>4.1500000000000004</v>
          </cell>
          <cell r="X10">
            <v>4.68</v>
          </cell>
          <cell r="Y10">
            <v>4.68</v>
          </cell>
          <cell r="Z10">
            <v>4.68</v>
          </cell>
          <cell r="AA10">
            <v>4.68</v>
          </cell>
          <cell r="AB10">
            <v>5.04</v>
          </cell>
          <cell r="AC10">
            <v>5.04</v>
          </cell>
          <cell r="AD10">
            <v>5.04</v>
          </cell>
          <cell r="AE10">
            <v>5.04</v>
          </cell>
          <cell r="AF10">
            <v>5.04</v>
          </cell>
          <cell r="AG10">
            <v>5.04</v>
          </cell>
          <cell r="AH10">
            <v>4.7300000000000004</v>
          </cell>
          <cell r="AI10">
            <v>0</v>
          </cell>
          <cell r="AJ10">
            <v>4.7300000000000004</v>
          </cell>
          <cell r="AK10">
            <v>9.18</v>
          </cell>
          <cell r="AL10">
            <v>9.18</v>
          </cell>
          <cell r="AM10">
            <v>60</v>
          </cell>
          <cell r="AN10">
            <v>27.8</v>
          </cell>
          <cell r="AO10">
            <v>12</v>
          </cell>
          <cell r="AP10">
            <v>10.16</v>
          </cell>
          <cell r="AQ10">
            <v>2.5</v>
          </cell>
          <cell r="AR10">
            <v>3</v>
          </cell>
          <cell r="AS10">
            <v>1.07</v>
          </cell>
          <cell r="AT10">
            <v>0.3</v>
          </cell>
          <cell r="AU10">
            <v>0.9</v>
          </cell>
        </row>
        <row r="11">
          <cell r="C11">
            <v>222.8</v>
          </cell>
          <cell r="D11">
            <v>0</v>
          </cell>
          <cell r="E11">
            <v>0</v>
          </cell>
          <cell r="F11">
            <v>90.98</v>
          </cell>
          <cell r="G11">
            <v>0</v>
          </cell>
          <cell r="H11">
            <v>119.92</v>
          </cell>
          <cell r="I11">
            <v>69.08</v>
          </cell>
          <cell r="J11">
            <v>69.08</v>
          </cell>
          <cell r="K11">
            <v>3.6</v>
          </cell>
          <cell r="L11">
            <v>3.6</v>
          </cell>
          <cell r="M11">
            <v>3.6</v>
          </cell>
          <cell r="N11">
            <v>3.6</v>
          </cell>
          <cell r="O11">
            <v>41.45</v>
          </cell>
          <cell r="P11">
            <v>33.700000000000003</v>
          </cell>
          <cell r="Q11">
            <v>41.45</v>
          </cell>
          <cell r="R11">
            <v>32.68</v>
          </cell>
          <cell r="S11">
            <v>16.71</v>
          </cell>
          <cell r="T11">
            <v>0</v>
          </cell>
          <cell r="U11">
            <v>0</v>
          </cell>
          <cell r="V11">
            <v>4.68</v>
          </cell>
          <cell r="W11">
            <v>4.1500000000000004</v>
          </cell>
          <cell r="X11">
            <v>4.68</v>
          </cell>
          <cell r="Y11">
            <v>4.68</v>
          </cell>
          <cell r="Z11">
            <v>4.68</v>
          </cell>
          <cell r="AA11">
            <v>4.68</v>
          </cell>
          <cell r="AB11">
            <v>5.04</v>
          </cell>
          <cell r="AC11">
            <v>5.04</v>
          </cell>
          <cell r="AD11">
            <v>5.04</v>
          </cell>
          <cell r="AE11">
            <v>5.04</v>
          </cell>
          <cell r="AF11">
            <v>5.04</v>
          </cell>
          <cell r="AG11">
            <v>5.04</v>
          </cell>
          <cell r="AH11">
            <v>4.7300000000000004</v>
          </cell>
          <cell r="AI11">
            <v>0</v>
          </cell>
          <cell r="AJ11">
            <v>4.7300000000000004</v>
          </cell>
          <cell r="AK11">
            <v>9.18</v>
          </cell>
          <cell r="AL11">
            <v>9.18</v>
          </cell>
          <cell r="AM11">
            <v>60</v>
          </cell>
          <cell r="AN11">
            <v>27.8</v>
          </cell>
          <cell r="AO11">
            <v>12</v>
          </cell>
          <cell r="AP11">
            <v>10.16</v>
          </cell>
          <cell r="AQ11">
            <v>2.5</v>
          </cell>
          <cell r="AR11">
            <v>3</v>
          </cell>
          <cell r="AS11">
            <v>1.07</v>
          </cell>
          <cell r="AT11">
            <v>0.3</v>
          </cell>
          <cell r="AU11">
            <v>0.9</v>
          </cell>
        </row>
        <row r="12">
          <cell r="C12">
            <v>327.60000000000002</v>
          </cell>
          <cell r="D12">
            <v>0</v>
          </cell>
          <cell r="E12">
            <v>0</v>
          </cell>
          <cell r="F12">
            <v>90.98</v>
          </cell>
          <cell r="G12">
            <v>0</v>
          </cell>
          <cell r="H12">
            <v>119.92</v>
          </cell>
          <cell r="I12">
            <v>69.08</v>
          </cell>
          <cell r="J12">
            <v>69.08</v>
          </cell>
          <cell r="K12">
            <v>3.6</v>
          </cell>
          <cell r="L12">
            <v>3.6</v>
          </cell>
          <cell r="M12">
            <v>3.6</v>
          </cell>
          <cell r="N12">
            <v>3.6</v>
          </cell>
          <cell r="O12">
            <v>41.45</v>
          </cell>
          <cell r="P12">
            <v>33.700000000000003</v>
          </cell>
          <cell r="Q12">
            <v>41.45</v>
          </cell>
          <cell r="R12">
            <v>32.68</v>
          </cell>
          <cell r="S12">
            <v>34.42</v>
          </cell>
          <cell r="T12">
            <v>0</v>
          </cell>
          <cell r="U12">
            <v>0</v>
          </cell>
          <cell r="V12">
            <v>4.68</v>
          </cell>
          <cell r="W12">
            <v>4.1500000000000004</v>
          </cell>
          <cell r="X12">
            <v>4.68</v>
          </cell>
          <cell r="Y12">
            <v>4.68</v>
          </cell>
          <cell r="Z12">
            <v>4.68</v>
          </cell>
          <cell r="AA12">
            <v>4.68</v>
          </cell>
          <cell r="AB12">
            <v>5.04</v>
          </cell>
          <cell r="AC12">
            <v>5.04</v>
          </cell>
          <cell r="AD12">
            <v>5.04</v>
          </cell>
          <cell r="AE12">
            <v>5.04</v>
          </cell>
          <cell r="AF12">
            <v>5.04</v>
          </cell>
          <cell r="AG12">
            <v>5.04</v>
          </cell>
          <cell r="AH12">
            <v>4.7300000000000004</v>
          </cell>
          <cell r="AI12">
            <v>0</v>
          </cell>
          <cell r="AJ12">
            <v>4.7300000000000004</v>
          </cell>
          <cell r="AK12">
            <v>9.18</v>
          </cell>
          <cell r="AL12">
            <v>7.88</v>
          </cell>
          <cell r="AM12">
            <v>60</v>
          </cell>
          <cell r="AN12">
            <v>27.8</v>
          </cell>
          <cell r="AO12">
            <v>12</v>
          </cell>
          <cell r="AP12">
            <v>10.16</v>
          </cell>
          <cell r="AQ12">
            <v>2.5</v>
          </cell>
          <cell r="AR12">
            <v>3</v>
          </cell>
          <cell r="AS12">
            <v>1.07</v>
          </cell>
          <cell r="AT12">
            <v>0.3</v>
          </cell>
          <cell r="AU12">
            <v>0.9</v>
          </cell>
        </row>
        <row r="13">
          <cell r="C13">
            <v>341.65</v>
          </cell>
          <cell r="D13">
            <v>0</v>
          </cell>
          <cell r="E13">
            <v>0</v>
          </cell>
          <cell r="F13">
            <v>90.98</v>
          </cell>
          <cell r="G13">
            <v>0</v>
          </cell>
          <cell r="H13">
            <v>119.92</v>
          </cell>
          <cell r="I13">
            <v>69.08</v>
          </cell>
          <cell r="J13">
            <v>69.08</v>
          </cell>
          <cell r="K13">
            <v>3.6</v>
          </cell>
          <cell r="L13">
            <v>3.6</v>
          </cell>
          <cell r="M13">
            <v>3.6</v>
          </cell>
          <cell r="N13">
            <v>3.6</v>
          </cell>
          <cell r="O13">
            <v>41.45</v>
          </cell>
          <cell r="P13">
            <v>33.700000000000003</v>
          </cell>
          <cell r="Q13">
            <v>41.45</v>
          </cell>
          <cell r="R13">
            <v>32.68</v>
          </cell>
          <cell r="S13">
            <v>36.619999999999997</v>
          </cell>
          <cell r="T13">
            <v>0</v>
          </cell>
          <cell r="U13">
            <v>0</v>
          </cell>
          <cell r="V13">
            <v>4.68</v>
          </cell>
          <cell r="W13">
            <v>4.1500000000000004</v>
          </cell>
          <cell r="X13">
            <v>4.68</v>
          </cell>
          <cell r="Y13">
            <v>4.68</v>
          </cell>
          <cell r="Z13">
            <v>4.68</v>
          </cell>
          <cell r="AA13">
            <v>4.68</v>
          </cell>
          <cell r="AB13">
            <v>5.04</v>
          </cell>
          <cell r="AC13">
            <v>5.04</v>
          </cell>
          <cell r="AD13">
            <v>5.04</v>
          </cell>
          <cell r="AE13">
            <v>5.04</v>
          </cell>
          <cell r="AF13">
            <v>5.04</v>
          </cell>
          <cell r="AG13">
            <v>5.04</v>
          </cell>
          <cell r="AH13">
            <v>4.7300000000000004</v>
          </cell>
          <cell r="AI13">
            <v>0</v>
          </cell>
          <cell r="AJ13">
            <v>4.7300000000000004</v>
          </cell>
          <cell r="AK13">
            <v>9.18</v>
          </cell>
          <cell r="AL13">
            <v>7.88</v>
          </cell>
          <cell r="AM13">
            <v>60</v>
          </cell>
          <cell r="AN13">
            <v>27.8</v>
          </cell>
          <cell r="AO13">
            <v>12</v>
          </cell>
          <cell r="AP13">
            <v>10.16</v>
          </cell>
          <cell r="AQ13">
            <v>2.5</v>
          </cell>
          <cell r="AR13">
            <v>3</v>
          </cell>
          <cell r="AS13">
            <v>1.07</v>
          </cell>
          <cell r="AT13">
            <v>0.3</v>
          </cell>
          <cell r="AU13">
            <v>0.9</v>
          </cell>
        </row>
        <row r="14">
          <cell r="C14">
            <v>376.32</v>
          </cell>
          <cell r="D14">
            <v>0</v>
          </cell>
          <cell r="E14">
            <v>0</v>
          </cell>
          <cell r="F14">
            <v>90.98</v>
          </cell>
          <cell r="G14">
            <v>0</v>
          </cell>
          <cell r="H14">
            <v>119.92</v>
          </cell>
          <cell r="I14">
            <v>69.08</v>
          </cell>
          <cell r="J14">
            <v>69.08</v>
          </cell>
          <cell r="K14">
            <v>3.6</v>
          </cell>
          <cell r="L14">
            <v>3.6</v>
          </cell>
          <cell r="M14">
            <v>3.6</v>
          </cell>
          <cell r="N14">
            <v>3.6</v>
          </cell>
          <cell r="O14">
            <v>41.45</v>
          </cell>
          <cell r="P14">
            <v>33.700000000000003</v>
          </cell>
          <cell r="Q14">
            <v>41.45</v>
          </cell>
          <cell r="R14">
            <v>32.68</v>
          </cell>
          <cell r="S14">
            <v>36.840000000000003</v>
          </cell>
          <cell r="T14">
            <v>0</v>
          </cell>
          <cell r="U14">
            <v>0</v>
          </cell>
          <cell r="V14">
            <v>4.68</v>
          </cell>
          <cell r="W14">
            <v>4.1500000000000004</v>
          </cell>
          <cell r="X14">
            <v>4.68</v>
          </cell>
          <cell r="Y14">
            <v>4.68</v>
          </cell>
          <cell r="Z14">
            <v>4.68</v>
          </cell>
          <cell r="AA14">
            <v>4.68</v>
          </cell>
          <cell r="AB14">
            <v>5.04</v>
          </cell>
          <cell r="AC14">
            <v>5.04</v>
          </cell>
          <cell r="AD14">
            <v>5.04</v>
          </cell>
          <cell r="AE14">
            <v>5.04</v>
          </cell>
          <cell r="AF14">
            <v>5.04</v>
          </cell>
          <cell r="AG14">
            <v>5.04</v>
          </cell>
          <cell r="AH14">
            <v>4.7300000000000004</v>
          </cell>
          <cell r="AI14">
            <v>0</v>
          </cell>
          <cell r="AJ14">
            <v>4.7300000000000004</v>
          </cell>
          <cell r="AK14">
            <v>9.18</v>
          </cell>
          <cell r="AL14">
            <v>9.18</v>
          </cell>
          <cell r="AM14">
            <v>60</v>
          </cell>
          <cell r="AN14">
            <v>27.8</v>
          </cell>
          <cell r="AO14">
            <v>12</v>
          </cell>
          <cell r="AP14">
            <v>10.16</v>
          </cell>
          <cell r="AQ14">
            <v>2.5</v>
          </cell>
          <cell r="AR14">
            <v>3</v>
          </cell>
          <cell r="AS14">
            <v>1.07</v>
          </cell>
          <cell r="AT14">
            <v>0.3</v>
          </cell>
          <cell r="AU14">
            <v>0.9</v>
          </cell>
        </row>
        <row r="15">
          <cell r="C15">
            <v>298.5</v>
          </cell>
          <cell r="D15">
            <v>0</v>
          </cell>
          <cell r="E15">
            <v>187.9</v>
          </cell>
          <cell r="F15">
            <v>90.98</v>
          </cell>
          <cell r="G15">
            <v>0</v>
          </cell>
          <cell r="H15">
            <v>119.92</v>
          </cell>
          <cell r="I15">
            <v>69.08</v>
          </cell>
          <cell r="J15">
            <v>69.08</v>
          </cell>
          <cell r="K15">
            <v>3.6</v>
          </cell>
          <cell r="L15">
            <v>3.6</v>
          </cell>
          <cell r="M15">
            <v>3.6</v>
          </cell>
          <cell r="N15">
            <v>3.6</v>
          </cell>
          <cell r="O15">
            <v>41.45</v>
          </cell>
          <cell r="P15">
            <v>33.700000000000003</v>
          </cell>
          <cell r="Q15">
            <v>41.45</v>
          </cell>
          <cell r="R15">
            <v>32.68</v>
          </cell>
          <cell r="S15">
            <v>36.840000000000003</v>
          </cell>
          <cell r="T15">
            <v>0</v>
          </cell>
          <cell r="U15">
            <v>21.25</v>
          </cell>
          <cell r="V15">
            <v>4.68</v>
          </cell>
          <cell r="W15">
            <v>4.1500000000000004</v>
          </cell>
          <cell r="X15">
            <v>4.68</v>
          </cell>
          <cell r="Y15">
            <v>4.68</v>
          </cell>
          <cell r="Z15">
            <v>4.68</v>
          </cell>
          <cell r="AA15">
            <v>4.68</v>
          </cell>
          <cell r="AB15">
            <v>5.04</v>
          </cell>
          <cell r="AC15">
            <v>5.04</v>
          </cell>
          <cell r="AD15">
            <v>5.04</v>
          </cell>
          <cell r="AE15">
            <v>5.04</v>
          </cell>
          <cell r="AF15">
            <v>5.04</v>
          </cell>
          <cell r="AG15">
            <v>5.04</v>
          </cell>
          <cell r="AH15">
            <v>4.7300000000000004</v>
          </cell>
          <cell r="AI15">
            <v>0</v>
          </cell>
          <cell r="AJ15">
            <v>4.7300000000000004</v>
          </cell>
          <cell r="AK15">
            <v>9.18</v>
          </cell>
          <cell r="AL15">
            <v>9.18</v>
          </cell>
          <cell r="AM15">
            <v>60</v>
          </cell>
          <cell r="AN15">
            <v>27.8</v>
          </cell>
          <cell r="AO15">
            <v>12</v>
          </cell>
          <cell r="AP15">
            <v>10.16</v>
          </cell>
          <cell r="AQ15">
            <v>2.5</v>
          </cell>
          <cell r="AR15">
            <v>3</v>
          </cell>
          <cell r="AS15">
            <v>1.07</v>
          </cell>
          <cell r="AT15">
            <v>0.3</v>
          </cell>
          <cell r="AU15">
            <v>0.93</v>
          </cell>
        </row>
        <row r="16">
          <cell r="C16">
            <v>336.68</v>
          </cell>
          <cell r="D16">
            <v>0</v>
          </cell>
          <cell r="E16">
            <v>205.58</v>
          </cell>
          <cell r="F16">
            <v>90.98</v>
          </cell>
          <cell r="G16">
            <v>0</v>
          </cell>
          <cell r="H16">
            <v>119.92</v>
          </cell>
          <cell r="I16">
            <v>69.08</v>
          </cell>
          <cell r="J16">
            <v>69.08</v>
          </cell>
          <cell r="K16">
            <v>3.6</v>
          </cell>
          <cell r="L16">
            <v>3.6</v>
          </cell>
          <cell r="M16">
            <v>3.6</v>
          </cell>
          <cell r="N16">
            <v>3.6</v>
          </cell>
          <cell r="O16">
            <v>41.45</v>
          </cell>
          <cell r="P16">
            <v>33.700000000000003</v>
          </cell>
          <cell r="Q16">
            <v>41.45</v>
          </cell>
          <cell r="R16">
            <v>32.68</v>
          </cell>
          <cell r="S16">
            <v>36.840000000000003</v>
          </cell>
          <cell r="T16">
            <v>0</v>
          </cell>
          <cell r="U16">
            <v>30.02</v>
          </cell>
          <cell r="V16">
            <v>4.68</v>
          </cell>
          <cell r="W16">
            <v>4.1500000000000004</v>
          </cell>
          <cell r="X16">
            <v>4.68</v>
          </cell>
          <cell r="Y16">
            <v>4.68</v>
          </cell>
          <cell r="Z16">
            <v>4.68</v>
          </cell>
          <cell r="AA16">
            <v>4.68</v>
          </cell>
          <cell r="AB16">
            <v>5.04</v>
          </cell>
          <cell r="AC16">
            <v>5.04</v>
          </cell>
          <cell r="AD16">
            <v>5.04</v>
          </cell>
          <cell r="AE16">
            <v>5.04</v>
          </cell>
          <cell r="AF16">
            <v>5.04</v>
          </cell>
          <cell r="AG16">
            <v>5.04</v>
          </cell>
          <cell r="AH16">
            <v>4.7300000000000004</v>
          </cell>
          <cell r="AI16">
            <v>0</v>
          </cell>
          <cell r="AJ16">
            <v>4.7300000000000004</v>
          </cell>
          <cell r="AK16">
            <v>9.18</v>
          </cell>
          <cell r="AL16">
            <v>9.18</v>
          </cell>
          <cell r="AM16">
            <v>60</v>
          </cell>
          <cell r="AN16">
            <v>27.8</v>
          </cell>
          <cell r="AO16">
            <v>12</v>
          </cell>
          <cell r="AP16">
            <v>10.16</v>
          </cell>
          <cell r="AQ16">
            <v>2.5</v>
          </cell>
          <cell r="AR16">
            <v>3</v>
          </cell>
          <cell r="AS16">
            <v>1.07</v>
          </cell>
          <cell r="AT16">
            <v>0.3</v>
          </cell>
          <cell r="AU16">
            <v>1.74</v>
          </cell>
        </row>
        <row r="17">
          <cell r="C17">
            <v>346.23</v>
          </cell>
          <cell r="D17">
            <v>0</v>
          </cell>
          <cell r="E17">
            <v>205.58</v>
          </cell>
          <cell r="F17">
            <v>90.98</v>
          </cell>
          <cell r="G17">
            <v>24.01</v>
          </cell>
          <cell r="H17">
            <v>119.92</v>
          </cell>
          <cell r="I17">
            <v>69.08</v>
          </cell>
          <cell r="J17">
            <v>69.08</v>
          </cell>
          <cell r="K17">
            <v>3.6</v>
          </cell>
          <cell r="L17">
            <v>3.6</v>
          </cell>
          <cell r="M17">
            <v>3.6</v>
          </cell>
          <cell r="N17">
            <v>3.6</v>
          </cell>
          <cell r="O17">
            <v>41.45</v>
          </cell>
          <cell r="P17">
            <v>33.700000000000003</v>
          </cell>
          <cell r="Q17">
            <v>41.45</v>
          </cell>
          <cell r="R17">
            <v>32.68</v>
          </cell>
          <cell r="S17">
            <v>36.840000000000003</v>
          </cell>
          <cell r="T17">
            <v>0</v>
          </cell>
          <cell r="U17">
            <v>35.29</v>
          </cell>
          <cell r="V17">
            <v>4.68</v>
          </cell>
          <cell r="W17">
            <v>4.1500000000000004</v>
          </cell>
          <cell r="X17">
            <v>4.68</v>
          </cell>
          <cell r="Y17">
            <v>4.68</v>
          </cell>
          <cell r="Z17">
            <v>4.68</v>
          </cell>
          <cell r="AA17">
            <v>4.68</v>
          </cell>
          <cell r="AB17">
            <v>5.04</v>
          </cell>
          <cell r="AC17">
            <v>5.04</v>
          </cell>
          <cell r="AD17">
            <v>5.04</v>
          </cell>
          <cell r="AE17">
            <v>5.04</v>
          </cell>
          <cell r="AF17">
            <v>5.04</v>
          </cell>
          <cell r="AG17">
            <v>5.04</v>
          </cell>
          <cell r="AH17">
            <v>4.7300000000000004</v>
          </cell>
          <cell r="AI17">
            <v>0</v>
          </cell>
          <cell r="AJ17">
            <v>4.7300000000000004</v>
          </cell>
          <cell r="AK17">
            <v>9.18</v>
          </cell>
          <cell r="AL17">
            <v>9.18</v>
          </cell>
          <cell r="AM17">
            <v>60</v>
          </cell>
          <cell r="AN17">
            <v>27.8</v>
          </cell>
          <cell r="AO17">
            <v>12</v>
          </cell>
          <cell r="AP17">
            <v>10.16</v>
          </cell>
          <cell r="AQ17">
            <v>2.5</v>
          </cell>
          <cell r="AR17">
            <v>3</v>
          </cell>
          <cell r="AS17">
            <v>1.07</v>
          </cell>
          <cell r="AT17">
            <v>0.3</v>
          </cell>
          <cell r="AU17">
            <v>1.74</v>
          </cell>
        </row>
        <row r="18">
          <cell r="C18">
            <v>265.02999999999997</v>
          </cell>
          <cell r="D18">
            <v>70.31</v>
          </cell>
          <cell r="E18">
            <v>205.58</v>
          </cell>
          <cell r="F18">
            <v>90.98</v>
          </cell>
          <cell r="G18">
            <v>24.01</v>
          </cell>
          <cell r="H18">
            <v>119.92</v>
          </cell>
          <cell r="I18">
            <v>69.08</v>
          </cell>
          <cell r="J18">
            <v>69.08</v>
          </cell>
          <cell r="K18">
            <v>3.6</v>
          </cell>
          <cell r="L18">
            <v>3.6</v>
          </cell>
          <cell r="M18">
            <v>3.6</v>
          </cell>
          <cell r="N18">
            <v>3.6</v>
          </cell>
          <cell r="O18">
            <v>41.45</v>
          </cell>
          <cell r="P18">
            <v>33.700000000000003</v>
          </cell>
          <cell r="Q18">
            <v>41.45</v>
          </cell>
          <cell r="R18">
            <v>32.68</v>
          </cell>
          <cell r="S18">
            <v>33.86</v>
          </cell>
          <cell r="T18">
            <v>1.8</v>
          </cell>
          <cell r="U18">
            <v>36.840000000000003</v>
          </cell>
          <cell r="V18">
            <v>4.68</v>
          </cell>
          <cell r="W18">
            <v>4.1500000000000004</v>
          </cell>
          <cell r="X18">
            <v>4.68</v>
          </cell>
          <cell r="Y18">
            <v>4.68</v>
          </cell>
          <cell r="Z18">
            <v>4.68</v>
          </cell>
          <cell r="AA18">
            <v>4.68</v>
          </cell>
          <cell r="AB18">
            <v>5.04</v>
          </cell>
          <cell r="AC18">
            <v>5.04</v>
          </cell>
          <cell r="AD18">
            <v>5.04</v>
          </cell>
          <cell r="AE18">
            <v>5.04</v>
          </cell>
          <cell r="AF18">
            <v>5.04</v>
          </cell>
          <cell r="AG18">
            <v>5.04</v>
          </cell>
          <cell r="AH18">
            <v>4.7300000000000004</v>
          </cell>
          <cell r="AI18">
            <v>0</v>
          </cell>
          <cell r="AJ18">
            <v>4.7300000000000004</v>
          </cell>
          <cell r="AK18">
            <v>9.18</v>
          </cell>
          <cell r="AL18">
            <v>9.18</v>
          </cell>
          <cell r="AM18">
            <v>60</v>
          </cell>
          <cell r="AN18">
            <v>27.8</v>
          </cell>
          <cell r="AO18">
            <v>12</v>
          </cell>
          <cell r="AP18">
            <v>10.16</v>
          </cell>
          <cell r="AQ18">
            <v>2.5</v>
          </cell>
          <cell r="AR18">
            <v>3</v>
          </cell>
          <cell r="AS18">
            <v>1.07</v>
          </cell>
          <cell r="AT18">
            <v>0.3</v>
          </cell>
          <cell r="AU18">
            <v>1.74</v>
          </cell>
        </row>
        <row r="19">
          <cell r="C19">
            <v>249.61</v>
          </cell>
          <cell r="D19">
            <v>70.31</v>
          </cell>
          <cell r="E19">
            <v>205.58</v>
          </cell>
          <cell r="F19">
            <v>90.98</v>
          </cell>
          <cell r="G19">
            <v>24.01</v>
          </cell>
          <cell r="H19">
            <v>119.92</v>
          </cell>
          <cell r="I19">
            <v>69.08</v>
          </cell>
          <cell r="J19">
            <v>69.08</v>
          </cell>
          <cell r="K19">
            <v>3.6</v>
          </cell>
          <cell r="L19">
            <v>3.6</v>
          </cell>
          <cell r="M19">
            <v>3.6</v>
          </cell>
          <cell r="N19">
            <v>3.6</v>
          </cell>
          <cell r="O19">
            <v>41.45</v>
          </cell>
          <cell r="P19">
            <v>33.700000000000003</v>
          </cell>
          <cell r="Q19">
            <v>41.45</v>
          </cell>
          <cell r="R19">
            <v>32.68</v>
          </cell>
          <cell r="S19">
            <v>36.840000000000003</v>
          </cell>
          <cell r="T19">
            <v>1.8</v>
          </cell>
          <cell r="U19">
            <v>31.44</v>
          </cell>
          <cell r="V19">
            <v>4.68</v>
          </cell>
          <cell r="W19">
            <v>4.1500000000000004</v>
          </cell>
          <cell r="X19">
            <v>4.68</v>
          </cell>
          <cell r="Y19">
            <v>4.68</v>
          </cell>
          <cell r="Z19">
            <v>4.68</v>
          </cell>
          <cell r="AA19">
            <v>4.68</v>
          </cell>
          <cell r="AB19">
            <v>5.04</v>
          </cell>
          <cell r="AC19">
            <v>5.04</v>
          </cell>
          <cell r="AD19">
            <v>5.04</v>
          </cell>
          <cell r="AE19">
            <v>5.04</v>
          </cell>
          <cell r="AF19">
            <v>5.04</v>
          </cell>
          <cell r="AG19">
            <v>5.04</v>
          </cell>
          <cell r="AH19">
            <v>4.7300000000000004</v>
          </cell>
          <cell r="AI19">
            <v>0</v>
          </cell>
          <cell r="AJ19">
            <v>4.7300000000000004</v>
          </cell>
          <cell r="AK19">
            <v>9.18</v>
          </cell>
          <cell r="AL19">
            <v>9.18</v>
          </cell>
          <cell r="AM19">
            <v>60</v>
          </cell>
          <cell r="AN19">
            <v>27.8</v>
          </cell>
          <cell r="AO19">
            <v>12</v>
          </cell>
          <cell r="AP19">
            <v>10.16</v>
          </cell>
          <cell r="AQ19">
            <v>2.5</v>
          </cell>
          <cell r="AR19">
            <v>3</v>
          </cell>
          <cell r="AS19">
            <v>1.07</v>
          </cell>
          <cell r="AT19">
            <v>0.3</v>
          </cell>
          <cell r="AU19">
            <v>1.74</v>
          </cell>
        </row>
        <row r="20">
          <cell r="C20">
            <v>259.06</v>
          </cell>
          <cell r="D20">
            <v>70.31</v>
          </cell>
          <cell r="E20">
            <v>205.58</v>
          </cell>
          <cell r="F20">
            <v>90.98</v>
          </cell>
          <cell r="G20">
            <v>24.01</v>
          </cell>
          <cell r="H20">
            <v>119.92</v>
          </cell>
          <cell r="I20">
            <v>69.08</v>
          </cell>
          <cell r="J20">
            <v>69.08</v>
          </cell>
          <cell r="K20">
            <v>3.6</v>
          </cell>
          <cell r="L20">
            <v>3.6</v>
          </cell>
          <cell r="M20">
            <v>3.6</v>
          </cell>
          <cell r="N20">
            <v>3.6</v>
          </cell>
          <cell r="O20">
            <v>41.45</v>
          </cell>
          <cell r="P20">
            <v>33.700000000000003</v>
          </cell>
          <cell r="Q20">
            <v>41.45</v>
          </cell>
          <cell r="R20">
            <v>32.68</v>
          </cell>
          <cell r="S20">
            <v>36.840000000000003</v>
          </cell>
          <cell r="T20">
            <v>1.8</v>
          </cell>
          <cell r="U20">
            <v>32.92</v>
          </cell>
          <cell r="V20">
            <v>4.68</v>
          </cell>
          <cell r="W20">
            <v>4.1500000000000004</v>
          </cell>
          <cell r="X20">
            <v>4.68</v>
          </cell>
          <cell r="Y20">
            <v>4.68</v>
          </cell>
          <cell r="Z20">
            <v>4.68</v>
          </cell>
          <cell r="AA20">
            <v>4.68</v>
          </cell>
          <cell r="AB20">
            <v>5.04</v>
          </cell>
          <cell r="AC20">
            <v>5.04</v>
          </cell>
          <cell r="AD20">
            <v>5.04</v>
          </cell>
          <cell r="AE20">
            <v>5.04</v>
          </cell>
          <cell r="AF20">
            <v>5.04</v>
          </cell>
          <cell r="AG20">
            <v>5.04</v>
          </cell>
          <cell r="AH20">
            <v>4.7300000000000004</v>
          </cell>
          <cell r="AI20">
            <v>0</v>
          </cell>
          <cell r="AJ20">
            <v>4.7300000000000004</v>
          </cell>
          <cell r="AK20">
            <v>9.18</v>
          </cell>
          <cell r="AL20">
            <v>9.18</v>
          </cell>
          <cell r="AM20">
            <v>60</v>
          </cell>
          <cell r="AN20">
            <v>27.8</v>
          </cell>
          <cell r="AO20">
            <v>12</v>
          </cell>
          <cell r="AP20">
            <v>10.16</v>
          </cell>
          <cell r="AQ20">
            <v>2.5</v>
          </cell>
          <cell r="AR20">
            <v>3</v>
          </cell>
          <cell r="AS20">
            <v>1.07</v>
          </cell>
          <cell r="AT20">
            <v>0.3</v>
          </cell>
          <cell r="AU20">
            <v>1.74</v>
          </cell>
        </row>
        <row r="21">
          <cell r="C21">
            <v>294.89999999999998</v>
          </cell>
          <cell r="D21">
            <v>70.31</v>
          </cell>
          <cell r="E21">
            <v>205.58</v>
          </cell>
          <cell r="F21">
            <v>90.98</v>
          </cell>
          <cell r="G21">
            <v>24.01</v>
          </cell>
          <cell r="H21">
            <v>119.92</v>
          </cell>
          <cell r="I21">
            <v>69.08</v>
          </cell>
          <cell r="J21">
            <v>69.08</v>
          </cell>
          <cell r="K21">
            <v>3.6</v>
          </cell>
          <cell r="L21">
            <v>3.6</v>
          </cell>
          <cell r="M21">
            <v>3.6</v>
          </cell>
          <cell r="N21">
            <v>3.6</v>
          </cell>
          <cell r="O21">
            <v>41.45</v>
          </cell>
          <cell r="P21">
            <v>33.700000000000003</v>
          </cell>
          <cell r="Q21">
            <v>41.45</v>
          </cell>
          <cell r="R21">
            <v>32.68</v>
          </cell>
          <cell r="S21">
            <v>36.840000000000003</v>
          </cell>
          <cell r="T21">
            <v>1.8</v>
          </cell>
          <cell r="U21">
            <v>36.840000000000003</v>
          </cell>
          <cell r="V21">
            <v>4.68</v>
          </cell>
          <cell r="W21">
            <v>4.1500000000000004</v>
          </cell>
          <cell r="X21">
            <v>4.68</v>
          </cell>
          <cell r="Y21">
            <v>4.68</v>
          </cell>
          <cell r="Z21">
            <v>4.68</v>
          </cell>
          <cell r="AA21">
            <v>4.68</v>
          </cell>
          <cell r="AB21">
            <v>5.04</v>
          </cell>
          <cell r="AC21">
            <v>5.04</v>
          </cell>
          <cell r="AD21">
            <v>5.04</v>
          </cell>
          <cell r="AE21">
            <v>5.04</v>
          </cell>
          <cell r="AF21">
            <v>5.04</v>
          </cell>
          <cell r="AG21">
            <v>5.04</v>
          </cell>
          <cell r="AH21">
            <v>4.7300000000000004</v>
          </cell>
          <cell r="AI21">
            <v>0</v>
          </cell>
          <cell r="AJ21">
            <v>4.7300000000000004</v>
          </cell>
          <cell r="AK21">
            <v>9.18</v>
          </cell>
          <cell r="AL21">
            <v>9.18</v>
          </cell>
          <cell r="AM21">
            <v>60</v>
          </cell>
          <cell r="AN21">
            <v>27.8</v>
          </cell>
          <cell r="AO21">
            <v>12</v>
          </cell>
          <cell r="AP21">
            <v>10.16</v>
          </cell>
          <cell r="AQ21">
            <v>2.5</v>
          </cell>
          <cell r="AR21">
            <v>3</v>
          </cell>
          <cell r="AS21">
            <v>1.07</v>
          </cell>
          <cell r="AT21">
            <v>0.49</v>
          </cell>
          <cell r="AU21">
            <v>1.74</v>
          </cell>
        </row>
        <row r="22">
          <cell r="C22">
            <v>261.27999999999997</v>
          </cell>
          <cell r="D22">
            <v>70.31</v>
          </cell>
          <cell r="E22">
            <v>205.58</v>
          </cell>
          <cell r="F22">
            <v>90.98</v>
          </cell>
          <cell r="G22">
            <v>24.01</v>
          </cell>
          <cell r="H22">
            <v>119.92</v>
          </cell>
          <cell r="I22">
            <v>69.08</v>
          </cell>
          <cell r="J22">
            <v>69.08</v>
          </cell>
          <cell r="K22">
            <v>3.6</v>
          </cell>
          <cell r="L22">
            <v>3.6</v>
          </cell>
          <cell r="M22">
            <v>3.6</v>
          </cell>
          <cell r="N22">
            <v>3.6</v>
          </cell>
          <cell r="O22">
            <v>41.45</v>
          </cell>
          <cell r="P22">
            <v>33.700000000000003</v>
          </cell>
          <cell r="Q22">
            <v>41.45</v>
          </cell>
          <cell r="R22">
            <v>32.68</v>
          </cell>
          <cell r="S22">
            <v>36.840000000000003</v>
          </cell>
          <cell r="T22">
            <v>1.8</v>
          </cell>
          <cell r="U22">
            <v>33.270000000000003</v>
          </cell>
          <cell r="V22">
            <v>4.68</v>
          </cell>
          <cell r="W22">
            <v>4.1500000000000004</v>
          </cell>
          <cell r="X22">
            <v>4.68</v>
          </cell>
          <cell r="Y22">
            <v>4.68</v>
          </cell>
          <cell r="Z22">
            <v>4.68</v>
          </cell>
          <cell r="AA22">
            <v>4.68</v>
          </cell>
          <cell r="AB22">
            <v>5.04</v>
          </cell>
          <cell r="AC22">
            <v>5.04</v>
          </cell>
          <cell r="AD22">
            <v>5.04</v>
          </cell>
          <cell r="AE22">
            <v>5.04</v>
          </cell>
          <cell r="AF22">
            <v>5.04</v>
          </cell>
          <cell r="AG22">
            <v>5.04</v>
          </cell>
          <cell r="AH22">
            <v>4.7300000000000004</v>
          </cell>
          <cell r="AI22">
            <v>0</v>
          </cell>
          <cell r="AJ22">
            <v>4.7300000000000004</v>
          </cell>
          <cell r="AK22">
            <v>9.18</v>
          </cell>
          <cell r="AL22">
            <v>9.18</v>
          </cell>
          <cell r="AM22">
            <v>60</v>
          </cell>
          <cell r="AN22">
            <v>37.369999999999997</v>
          </cell>
          <cell r="AO22">
            <v>13.73</v>
          </cell>
          <cell r="AP22">
            <v>10.16</v>
          </cell>
          <cell r="AQ22">
            <v>2.5</v>
          </cell>
          <cell r="AR22">
            <v>3</v>
          </cell>
          <cell r="AS22">
            <v>1.07</v>
          </cell>
          <cell r="AT22">
            <v>0.67</v>
          </cell>
          <cell r="AU22">
            <v>1.74</v>
          </cell>
        </row>
        <row r="23">
          <cell r="C23">
            <v>207.85</v>
          </cell>
          <cell r="D23">
            <v>70.31</v>
          </cell>
          <cell r="E23">
            <v>205.58</v>
          </cell>
          <cell r="F23">
            <v>90.98</v>
          </cell>
          <cell r="G23">
            <v>24.01</v>
          </cell>
          <cell r="H23">
            <v>119.92</v>
          </cell>
          <cell r="I23">
            <v>69.08</v>
          </cell>
          <cell r="J23">
            <v>69.08</v>
          </cell>
          <cell r="K23">
            <v>3.6</v>
          </cell>
          <cell r="L23">
            <v>3.6</v>
          </cell>
          <cell r="M23">
            <v>3.6</v>
          </cell>
          <cell r="N23">
            <v>3.6</v>
          </cell>
          <cell r="O23">
            <v>41.45</v>
          </cell>
          <cell r="P23">
            <v>33.700000000000003</v>
          </cell>
          <cell r="Q23">
            <v>41.45</v>
          </cell>
          <cell r="R23">
            <v>32.68</v>
          </cell>
          <cell r="S23">
            <v>24.88</v>
          </cell>
          <cell r="T23">
            <v>1.8</v>
          </cell>
          <cell r="U23">
            <v>36.840000000000003</v>
          </cell>
          <cell r="V23">
            <v>4.68</v>
          </cell>
          <cell r="W23">
            <v>4.1500000000000004</v>
          </cell>
          <cell r="X23">
            <v>4.68</v>
          </cell>
          <cell r="Y23">
            <v>4.68</v>
          </cell>
          <cell r="Z23">
            <v>4.68</v>
          </cell>
          <cell r="AA23">
            <v>4.68</v>
          </cell>
          <cell r="AB23">
            <v>5.04</v>
          </cell>
          <cell r="AC23">
            <v>5.04</v>
          </cell>
          <cell r="AD23">
            <v>5.04</v>
          </cell>
          <cell r="AE23">
            <v>5.04</v>
          </cell>
          <cell r="AF23">
            <v>5.04</v>
          </cell>
          <cell r="AG23">
            <v>5.04</v>
          </cell>
          <cell r="AH23">
            <v>4.7300000000000004</v>
          </cell>
          <cell r="AI23">
            <v>0</v>
          </cell>
          <cell r="AJ23">
            <v>4.7300000000000004</v>
          </cell>
          <cell r="AK23">
            <v>9.18</v>
          </cell>
          <cell r="AL23">
            <v>9.18</v>
          </cell>
          <cell r="AM23">
            <v>60</v>
          </cell>
          <cell r="AN23">
            <v>74.45</v>
          </cell>
          <cell r="AO23">
            <v>37.049999999999997</v>
          </cell>
          <cell r="AP23">
            <v>10.16</v>
          </cell>
          <cell r="AQ23">
            <v>2.5</v>
          </cell>
          <cell r="AR23">
            <v>3</v>
          </cell>
          <cell r="AS23">
            <v>1.07</v>
          </cell>
          <cell r="AT23">
            <v>0.67</v>
          </cell>
          <cell r="AU23">
            <v>1.74</v>
          </cell>
        </row>
        <row r="24">
          <cell r="C24">
            <v>326.38</v>
          </cell>
          <cell r="D24">
            <v>70.31</v>
          </cell>
          <cell r="E24">
            <v>205.58</v>
          </cell>
          <cell r="F24">
            <v>90.98</v>
          </cell>
          <cell r="G24">
            <v>24.01</v>
          </cell>
          <cell r="H24">
            <v>119.92</v>
          </cell>
          <cell r="I24">
            <v>69.08</v>
          </cell>
          <cell r="J24">
            <v>69.08</v>
          </cell>
          <cell r="K24">
            <v>3.6</v>
          </cell>
          <cell r="L24">
            <v>3.6</v>
          </cell>
          <cell r="M24">
            <v>3.6</v>
          </cell>
          <cell r="N24">
            <v>3.6</v>
          </cell>
          <cell r="O24">
            <v>41.45</v>
          </cell>
          <cell r="P24">
            <v>33.700000000000003</v>
          </cell>
          <cell r="Q24">
            <v>41.45</v>
          </cell>
          <cell r="R24">
            <v>32.68</v>
          </cell>
          <cell r="S24">
            <v>36.840000000000003</v>
          </cell>
          <cell r="T24">
            <v>1.8</v>
          </cell>
          <cell r="U24">
            <v>36.840000000000003</v>
          </cell>
          <cell r="V24">
            <v>4.68</v>
          </cell>
          <cell r="W24">
            <v>4.1500000000000004</v>
          </cell>
          <cell r="X24">
            <v>4.68</v>
          </cell>
          <cell r="Y24">
            <v>4.68</v>
          </cell>
          <cell r="Z24">
            <v>4.68</v>
          </cell>
          <cell r="AA24">
            <v>4.68</v>
          </cell>
          <cell r="AB24">
            <v>5.04</v>
          </cell>
          <cell r="AC24">
            <v>5.04</v>
          </cell>
          <cell r="AD24">
            <v>5.04</v>
          </cell>
          <cell r="AE24">
            <v>5.04</v>
          </cell>
          <cell r="AF24">
            <v>5.04</v>
          </cell>
          <cell r="AG24">
            <v>5.04</v>
          </cell>
          <cell r="AH24">
            <v>4.7300000000000004</v>
          </cell>
          <cell r="AI24">
            <v>0</v>
          </cell>
          <cell r="AJ24">
            <v>4.7300000000000004</v>
          </cell>
          <cell r="AK24">
            <v>9.18</v>
          </cell>
          <cell r="AL24">
            <v>9.18</v>
          </cell>
          <cell r="AM24">
            <v>60</v>
          </cell>
          <cell r="AN24">
            <v>74.45</v>
          </cell>
          <cell r="AO24">
            <v>37.049999999999997</v>
          </cell>
          <cell r="AP24">
            <v>10.16</v>
          </cell>
          <cell r="AQ24">
            <v>2.5</v>
          </cell>
          <cell r="AR24">
            <v>3</v>
          </cell>
          <cell r="AS24">
            <v>1.07</v>
          </cell>
          <cell r="AT24">
            <v>0.67</v>
          </cell>
          <cell r="AU24">
            <v>1.74</v>
          </cell>
        </row>
        <row r="25">
          <cell r="C25">
            <v>582.55999999999995</v>
          </cell>
          <cell r="D25">
            <v>34.21</v>
          </cell>
          <cell r="E25">
            <v>205.58</v>
          </cell>
          <cell r="F25">
            <v>90.98</v>
          </cell>
          <cell r="G25">
            <v>24.01</v>
          </cell>
          <cell r="H25">
            <v>119.92</v>
          </cell>
          <cell r="I25">
            <v>69.08</v>
          </cell>
          <cell r="J25">
            <v>69.08</v>
          </cell>
          <cell r="K25">
            <v>3.6</v>
          </cell>
          <cell r="L25">
            <v>3.6</v>
          </cell>
          <cell r="M25">
            <v>3.6</v>
          </cell>
          <cell r="N25">
            <v>3.6</v>
          </cell>
          <cell r="O25">
            <v>41.45</v>
          </cell>
          <cell r="P25">
            <v>33.700000000000003</v>
          </cell>
          <cell r="Q25">
            <v>41.45</v>
          </cell>
          <cell r="R25">
            <v>32.68</v>
          </cell>
          <cell r="S25">
            <v>36.840000000000003</v>
          </cell>
          <cell r="T25">
            <v>1.8</v>
          </cell>
          <cell r="U25">
            <v>36.840000000000003</v>
          </cell>
          <cell r="V25">
            <v>4.68</v>
          </cell>
          <cell r="W25">
            <v>4.1500000000000004</v>
          </cell>
          <cell r="X25">
            <v>4.68</v>
          </cell>
          <cell r="Y25">
            <v>4.68</v>
          </cell>
          <cell r="Z25">
            <v>4.68</v>
          </cell>
          <cell r="AA25">
            <v>4.68</v>
          </cell>
          <cell r="AB25">
            <v>5.04</v>
          </cell>
          <cell r="AC25">
            <v>5.04</v>
          </cell>
          <cell r="AD25">
            <v>5.04</v>
          </cell>
          <cell r="AE25">
            <v>5.04</v>
          </cell>
          <cell r="AF25">
            <v>5.04</v>
          </cell>
          <cell r="AG25">
            <v>5.04</v>
          </cell>
          <cell r="AH25">
            <v>4.7300000000000004</v>
          </cell>
          <cell r="AI25">
            <v>99.73</v>
          </cell>
          <cell r="AJ25">
            <v>4.7300000000000004</v>
          </cell>
          <cell r="AK25">
            <v>9.18</v>
          </cell>
          <cell r="AL25">
            <v>9.18</v>
          </cell>
          <cell r="AM25">
            <v>154.4</v>
          </cell>
          <cell r="AN25">
            <v>74.45</v>
          </cell>
          <cell r="AO25">
            <v>37.049999999999997</v>
          </cell>
          <cell r="AP25">
            <v>10.16</v>
          </cell>
          <cell r="AQ25">
            <v>4.82</v>
          </cell>
          <cell r="AR25">
            <v>10.029999999999999</v>
          </cell>
          <cell r="AS25">
            <v>1.44</v>
          </cell>
          <cell r="AT25">
            <v>0.67</v>
          </cell>
          <cell r="AU25">
            <v>1.74</v>
          </cell>
        </row>
        <row r="26">
          <cell r="C26">
            <v>555.75</v>
          </cell>
          <cell r="D26">
            <v>70.31</v>
          </cell>
          <cell r="E26">
            <v>205.58</v>
          </cell>
          <cell r="F26">
            <v>90.98</v>
          </cell>
          <cell r="G26">
            <v>24.01</v>
          </cell>
          <cell r="H26">
            <v>119.92</v>
          </cell>
          <cell r="I26">
            <v>69.08</v>
          </cell>
          <cell r="J26">
            <v>69.08</v>
          </cell>
          <cell r="K26">
            <v>3.6</v>
          </cell>
          <cell r="L26">
            <v>3.6</v>
          </cell>
          <cell r="M26">
            <v>3.6</v>
          </cell>
          <cell r="N26">
            <v>3.6</v>
          </cell>
          <cell r="O26">
            <v>41.45</v>
          </cell>
          <cell r="P26">
            <v>33.700000000000003</v>
          </cell>
          <cell r="Q26">
            <v>41.45</v>
          </cell>
          <cell r="R26">
            <v>32.68</v>
          </cell>
          <cell r="S26">
            <v>36.840000000000003</v>
          </cell>
          <cell r="T26">
            <v>1.8</v>
          </cell>
          <cell r="U26">
            <v>36.840000000000003</v>
          </cell>
          <cell r="V26">
            <v>4.68</v>
          </cell>
          <cell r="W26">
            <v>4.1500000000000004</v>
          </cell>
          <cell r="X26">
            <v>4.68</v>
          </cell>
          <cell r="Y26">
            <v>4.68</v>
          </cell>
          <cell r="Z26">
            <v>4.68</v>
          </cell>
          <cell r="AA26">
            <v>4.68</v>
          </cell>
          <cell r="AB26">
            <v>5.04</v>
          </cell>
          <cell r="AC26">
            <v>5.04</v>
          </cell>
          <cell r="AD26">
            <v>5.04</v>
          </cell>
          <cell r="AE26">
            <v>5.04</v>
          </cell>
          <cell r="AF26">
            <v>5.04</v>
          </cell>
          <cell r="AG26">
            <v>5.04</v>
          </cell>
          <cell r="AH26">
            <v>4.7300000000000004</v>
          </cell>
          <cell r="AI26">
            <v>49.17</v>
          </cell>
          <cell r="AJ26">
            <v>4.7300000000000004</v>
          </cell>
          <cell r="AK26">
            <v>9.18</v>
          </cell>
          <cell r="AL26">
            <v>9.18</v>
          </cell>
          <cell r="AM26">
            <v>154.4</v>
          </cell>
          <cell r="AN26">
            <v>74.45</v>
          </cell>
          <cell r="AO26">
            <v>37.049999999999997</v>
          </cell>
          <cell r="AP26">
            <v>10.16</v>
          </cell>
          <cell r="AQ26">
            <v>4.82</v>
          </cell>
          <cell r="AR26">
            <v>10.029999999999999</v>
          </cell>
          <cell r="AS26">
            <v>1.44</v>
          </cell>
          <cell r="AT26">
            <v>0.67</v>
          </cell>
          <cell r="AU26">
            <v>1.74</v>
          </cell>
        </row>
        <row r="27">
          <cell r="C27">
            <v>383.51</v>
          </cell>
          <cell r="D27">
            <v>70.31</v>
          </cell>
          <cell r="E27">
            <v>205.58</v>
          </cell>
          <cell r="F27">
            <v>90.98</v>
          </cell>
          <cell r="G27">
            <v>24.01</v>
          </cell>
          <cell r="H27">
            <v>119.92</v>
          </cell>
          <cell r="I27">
            <v>69.08</v>
          </cell>
          <cell r="J27">
            <v>69.08</v>
          </cell>
          <cell r="K27">
            <v>3.6</v>
          </cell>
          <cell r="L27">
            <v>3.6</v>
          </cell>
          <cell r="M27">
            <v>3.6</v>
          </cell>
          <cell r="N27">
            <v>3.6</v>
          </cell>
          <cell r="O27">
            <v>41.45</v>
          </cell>
          <cell r="P27">
            <v>33.700000000000003</v>
          </cell>
          <cell r="Q27">
            <v>41.45</v>
          </cell>
          <cell r="R27">
            <v>32.68</v>
          </cell>
          <cell r="S27">
            <v>36.840000000000003</v>
          </cell>
          <cell r="T27">
            <v>1.8</v>
          </cell>
          <cell r="U27">
            <v>36.840000000000003</v>
          </cell>
          <cell r="V27">
            <v>4.68</v>
          </cell>
          <cell r="W27">
            <v>4.1500000000000004</v>
          </cell>
          <cell r="X27">
            <v>4.68</v>
          </cell>
          <cell r="Y27">
            <v>4.68</v>
          </cell>
          <cell r="Z27">
            <v>4.68</v>
          </cell>
          <cell r="AA27">
            <v>4.68</v>
          </cell>
          <cell r="AB27">
            <v>5.04</v>
          </cell>
          <cell r="AC27">
            <v>5.04</v>
          </cell>
          <cell r="AD27">
            <v>5.04</v>
          </cell>
          <cell r="AE27">
            <v>5.04</v>
          </cell>
          <cell r="AF27">
            <v>5.04</v>
          </cell>
          <cell r="AG27">
            <v>5.04</v>
          </cell>
          <cell r="AH27">
            <v>4.7300000000000004</v>
          </cell>
          <cell r="AI27">
            <v>72.260000000000005</v>
          </cell>
          <cell r="AJ27">
            <v>4.7300000000000004</v>
          </cell>
          <cell r="AK27">
            <v>9.18</v>
          </cell>
          <cell r="AL27">
            <v>9.18</v>
          </cell>
          <cell r="AM27">
            <v>154.4</v>
          </cell>
          <cell r="AN27">
            <v>74.45</v>
          </cell>
          <cell r="AO27">
            <v>37.049999999999997</v>
          </cell>
          <cell r="AP27">
            <v>10.16</v>
          </cell>
          <cell r="AQ27">
            <v>4.5199999999999996</v>
          </cell>
          <cell r="AR27">
            <v>10.029999999999999</v>
          </cell>
          <cell r="AS27">
            <v>1.32</v>
          </cell>
          <cell r="AT27">
            <v>0.67</v>
          </cell>
          <cell r="AU27">
            <v>1.74</v>
          </cell>
        </row>
        <row r="28">
          <cell r="C28">
            <v>260.60000000000002</v>
          </cell>
          <cell r="D28">
            <v>70.31</v>
          </cell>
          <cell r="E28">
            <v>205.58</v>
          </cell>
          <cell r="F28">
            <v>90.98</v>
          </cell>
          <cell r="G28">
            <v>24.01</v>
          </cell>
          <cell r="H28">
            <v>119.92</v>
          </cell>
          <cell r="I28">
            <v>69.08</v>
          </cell>
          <cell r="J28">
            <v>69.08</v>
          </cell>
          <cell r="K28">
            <v>3.6</v>
          </cell>
          <cell r="L28">
            <v>3.6</v>
          </cell>
          <cell r="M28">
            <v>3.6</v>
          </cell>
          <cell r="N28">
            <v>3.6</v>
          </cell>
          <cell r="O28">
            <v>41.45</v>
          </cell>
          <cell r="P28">
            <v>33.700000000000003</v>
          </cell>
          <cell r="Q28">
            <v>41.45</v>
          </cell>
          <cell r="R28">
            <v>32.68</v>
          </cell>
          <cell r="S28">
            <v>33.159999999999997</v>
          </cell>
          <cell r="T28">
            <v>1.8</v>
          </cell>
          <cell r="U28">
            <v>36.840000000000003</v>
          </cell>
          <cell r="V28">
            <v>4.68</v>
          </cell>
          <cell r="W28">
            <v>4.1500000000000004</v>
          </cell>
          <cell r="X28">
            <v>4.68</v>
          </cell>
          <cell r="Y28">
            <v>4.68</v>
          </cell>
          <cell r="Z28">
            <v>4.68</v>
          </cell>
          <cell r="AA28">
            <v>4.68</v>
          </cell>
          <cell r="AB28">
            <v>5.04</v>
          </cell>
          <cell r="AC28">
            <v>5.04</v>
          </cell>
          <cell r="AD28">
            <v>5.04</v>
          </cell>
          <cell r="AE28">
            <v>5.04</v>
          </cell>
          <cell r="AF28">
            <v>5.04</v>
          </cell>
          <cell r="AG28">
            <v>5.04</v>
          </cell>
          <cell r="AH28">
            <v>4.7300000000000004</v>
          </cell>
          <cell r="AI28">
            <v>0</v>
          </cell>
          <cell r="AJ28">
            <v>4.7300000000000004</v>
          </cell>
          <cell r="AK28">
            <v>9.18</v>
          </cell>
          <cell r="AL28">
            <v>9.18</v>
          </cell>
          <cell r="AM28">
            <v>123.48</v>
          </cell>
          <cell r="AN28">
            <v>74.45</v>
          </cell>
          <cell r="AO28">
            <v>37.049999999999997</v>
          </cell>
          <cell r="AP28">
            <v>10.16</v>
          </cell>
          <cell r="AQ28">
            <v>2.5</v>
          </cell>
          <cell r="AR28">
            <v>9.9</v>
          </cell>
          <cell r="AS28">
            <v>1.07</v>
          </cell>
          <cell r="AT28">
            <v>0.67</v>
          </cell>
          <cell r="AU28">
            <v>1.74</v>
          </cell>
        </row>
        <row r="29">
          <cell r="C29">
            <v>258.91000000000003</v>
          </cell>
          <cell r="D29">
            <v>70.31</v>
          </cell>
          <cell r="E29">
            <v>205.58</v>
          </cell>
          <cell r="F29">
            <v>90.98</v>
          </cell>
          <cell r="G29">
            <v>24.01</v>
          </cell>
          <cell r="H29">
            <v>119.92</v>
          </cell>
          <cell r="I29">
            <v>69.08</v>
          </cell>
          <cell r="J29">
            <v>69.08</v>
          </cell>
          <cell r="K29">
            <v>3.6</v>
          </cell>
          <cell r="L29">
            <v>3.6</v>
          </cell>
          <cell r="M29">
            <v>3.6</v>
          </cell>
          <cell r="N29">
            <v>3.6</v>
          </cell>
          <cell r="O29">
            <v>41.45</v>
          </cell>
          <cell r="P29">
            <v>33.700000000000003</v>
          </cell>
          <cell r="Q29">
            <v>41.45</v>
          </cell>
          <cell r="R29">
            <v>32.68</v>
          </cell>
          <cell r="S29">
            <v>36.840000000000003</v>
          </cell>
          <cell r="T29">
            <v>1.8</v>
          </cell>
          <cell r="U29">
            <v>32.9</v>
          </cell>
          <cell r="V29">
            <v>4.68</v>
          </cell>
          <cell r="W29">
            <v>4.1500000000000004</v>
          </cell>
          <cell r="X29">
            <v>4.68</v>
          </cell>
          <cell r="Y29">
            <v>4.68</v>
          </cell>
          <cell r="Z29">
            <v>4.68</v>
          </cell>
          <cell r="AA29">
            <v>4.68</v>
          </cell>
          <cell r="AB29">
            <v>5.04</v>
          </cell>
          <cell r="AC29">
            <v>5.04</v>
          </cell>
          <cell r="AD29">
            <v>5.04</v>
          </cell>
          <cell r="AE29">
            <v>5.04</v>
          </cell>
          <cell r="AF29">
            <v>5.04</v>
          </cell>
          <cell r="AG29">
            <v>5.04</v>
          </cell>
          <cell r="AH29">
            <v>4.7300000000000004</v>
          </cell>
          <cell r="AI29">
            <v>0</v>
          </cell>
          <cell r="AJ29">
            <v>4.7300000000000004</v>
          </cell>
          <cell r="AK29">
            <v>9.18</v>
          </cell>
          <cell r="AL29">
            <v>9.18</v>
          </cell>
          <cell r="AM29">
            <v>60</v>
          </cell>
          <cell r="AN29">
            <v>27.8</v>
          </cell>
          <cell r="AO29">
            <v>12</v>
          </cell>
          <cell r="AP29">
            <v>10.16</v>
          </cell>
          <cell r="AQ29">
            <v>2.5</v>
          </cell>
          <cell r="AR29">
            <v>3</v>
          </cell>
          <cell r="AS29">
            <v>1.07</v>
          </cell>
          <cell r="AT29">
            <v>0.3</v>
          </cell>
          <cell r="AU29">
            <v>1.74</v>
          </cell>
        </row>
        <row r="30">
          <cell r="C30">
            <v>355.8</v>
          </cell>
          <cell r="D30">
            <v>0</v>
          </cell>
          <cell r="E30">
            <v>0</v>
          </cell>
          <cell r="F30">
            <v>90.98</v>
          </cell>
          <cell r="G30">
            <v>0</v>
          </cell>
          <cell r="H30">
            <v>119.92</v>
          </cell>
          <cell r="I30">
            <v>69.08</v>
          </cell>
          <cell r="J30">
            <v>69.08</v>
          </cell>
          <cell r="K30">
            <v>3.6</v>
          </cell>
          <cell r="L30">
            <v>3.6</v>
          </cell>
          <cell r="M30">
            <v>3.6</v>
          </cell>
          <cell r="N30">
            <v>3.6</v>
          </cell>
          <cell r="O30">
            <v>41.45</v>
          </cell>
          <cell r="P30">
            <v>33.700000000000003</v>
          </cell>
          <cell r="Q30">
            <v>41.45</v>
          </cell>
          <cell r="R30">
            <v>32.68</v>
          </cell>
          <cell r="S30">
            <v>36.840000000000003</v>
          </cell>
          <cell r="T30">
            <v>0</v>
          </cell>
          <cell r="U30">
            <v>0</v>
          </cell>
          <cell r="V30">
            <v>4.68</v>
          </cell>
          <cell r="W30">
            <v>4.1500000000000004</v>
          </cell>
          <cell r="X30">
            <v>4.68</v>
          </cell>
          <cell r="Y30">
            <v>4.68</v>
          </cell>
          <cell r="Z30">
            <v>4.68</v>
          </cell>
          <cell r="AA30">
            <v>4.68</v>
          </cell>
          <cell r="AB30">
            <v>5.04</v>
          </cell>
          <cell r="AC30">
            <v>5.04</v>
          </cell>
          <cell r="AD30">
            <v>5.04</v>
          </cell>
          <cell r="AE30">
            <v>5.04</v>
          </cell>
          <cell r="AF30">
            <v>5.04</v>
          </cell>
          <cell r="AG30">
            <v>5.04</v>
          </cell>
          <cell r="AH30">
            <v>4.7300000000000004</v>
          </cell>
          <cell r="AI30">
            <v>0</v>
          </cell>
          <cell r="AJ30">
            <v>4.7300000000000004</v>
          </cell>
          <cell r="AK30">
            <v>9.18</v>
          </cell>
          <cell r="AL30">
            <v>9.18</v>
          </cell>
          <cell r="AM30">
            <v>60</v>
          </cell>
          <cell r="AN30">
            <v>27.8</v>
          </cell>
          <cell r="AO30">
            <v>12</v>
          </cell>
          <cell r="AP30">
            <v>10.16</v>
          </cell>
          <cell r="AQ30">
            <v>2.5</v>
          </cell>
          <cell r="AR30">
            <v>3</v>
          </cell>
          <cell r="AS30">
            <v>1.07</v>
          </cell>
          <cell r="AT30">
            <v>0.3</v>
          </cell>
          <cell r="AU30">
            <v>0.9</v>
          </cell>
        </row>
        <row r="32">
          <cell r="C32">
            <v>7448.32</v>
          </cell>
          <cell r="D32">
            <v>807.66</v>
          </cell>
          <cell r="E32">
            <v>3065.97</v>
          </cell>
          <cell r="F32">
            <v>2183.41</v>
          </cell>
          <cell r="G32">
            <v>312.10000000000002</v>
          </cell>
          <cell r="H32">
            <v>2878.19</v>
          </cell>
          <cell r="I32">
            <v>1657.88</v>
          </cell>
          <cell r="J32">
            <v>1657.88</v>
          </cell>
          <cell r="K32">
            <v>86.39</v>
          </cell>
          <cell r="L32">
            <v>86.39</v>
          </cell>
          <cell r="M32">
            <v>86.39</v>
          </cell>
          <cell r="N32">
            <v>86.39</v>
          </cell>
          <cell r="O32">
            <v>994.75</v>
          </cell>
          <cell r="P32">
            <v>808.82</v>
          </cell>
          <cell r="Q32">
            <v>994.75</v>
          </cell>
          <cell r="R32">
            <v>784.37</v>
          </cell>
          <cell r="S32">
            <v>769.5</v>
          </cell>
          <cell r="T32">
            <v>21.62</v>
          </cell>
          <cell r="U32">
            <v>511.81</v>
          </cell>
          <cell r="V32">
            <v>112.37</v>
          </cell>
          <cell r="W32">
            <v>99.52</v>
          </cell>
          <cell r="X32">
            <v>112.37</v>
          </cell>
          <cell r="Y32">
            <v>112.37</v>
          </cell>
          <cell r="Z32">
            <v>112.37</v>
          </cell>
          <cell r="AA32">
            <v>112.37</v>
          </cell>
          <cell r="AB32">
            <v>120.88</v>
          </cell>
          <cell r="AC32">
            <v>120.88</v>
          </cell>
          <cell r="AD32">
            <v>120.88</v>
          </cell>
          <cell r="AE32">
            <v>120.88</v>
          </cell>
          <cell r="AF32">
            <v>120.88</v>
          </cell>
          <cell r="AG32">
            <v>120.88</v>
          </cell>
          <cell r="AH32">
            <v>113.6</v>
          </cell>
          <cell r="AI32">
            <v>221.16</v>
          </cell>
          <cell r="AJ32">
            <v>113.6</v>
          </cell>
          <cell r="AK32">
            <v>220.25</v>
          </cell>
          <cell r="AL32">
            <v>217.64</v>
          </cell>
          <cell r="AM32">
            <v>1786.67</v>
          </cell>
          <cell r="AN32">
            <v>956.67</v>
          </cell>
          <cell r="AO32">
            <v>440</v>
          </cell>
          <cell r="AP32">
            <v>243.89</v>
          </cell>
          <cell r="AQ32">
            <v>66.67</v>
          </cell>
          <cell r="AR32">
            <v>100</v>
          </cell>
          <cell r="AS32">
            <v>26.67</v>
          </cell>
          <cell r="AT32">
            <v>10</v>
          </cell>
          <cell r="AU32">
            <v>33.33</v>
          </cell>
        </row>
        <row r="34">
          <cell r="C34">
            <v>2E-3</v>
          </cell>
          <cell r="D34">
            <v>2E-3</v>
          </cell>
          <cell r="E34">
            <v>2E-3</v>
          </cell>
          <cell r="F34">
            <v>2.5700000000000001E-2</v>
          </cell>
          <cell r="G34">
            <v>3.32E-2</v>
          </cell>
          <cell r="H34">
            <v>2.75E-2</v>
          </cell>
          <cell r="I34">
            <v>2.7799999999999998E-2</v>
          </cell>
          <cell r="J34">
            <v>2.81E-2</v>
          </cell>
          <cell r="K34">
            <v>3.2000000000000001E-2</v>
          </cell>
          <cell r="L34">
            <v>3.2199999999999999E-2</v>
          </cell>
          <cell r="M34">
            <v>3.2199999999999999E-2</v>
          </cell>
          <cell r="N34">
            <v>3.2199999999999999E-2</v>
          </cell>
          <cell r="O34">
            <v>3.9E-2</v>
          </cell>
          <cell r="P34">
            <v>3.95E-2</v>
          </cell>
          <cell r="Q34">
            <v>4.1000000000000002E-2</v>
          </cell>
          <cell r="R34">
            <v>3.4299999999999997E-2</v>
          </cell>
          <cell r="S34">
            <v>4.1799999999999997E-2</v>
          </cell>
          <cell r="T34">
            <v>4.1799999999999997E-2</v>
          </cell>
          <cell r="U34">
            <v>4.2200000000000001E-2</v>
          </cell>
          <cell r="V34">
            <v>3.7100000000000001E-2</v>
          </cell>
          <cell r="W34">
            <v>3.7100000000000001E-2</v>
          </cell>
          <cell r="X34">
            <v>3.7100000000000001E-2</v>
          </cell>
          <cell r="Y34">
            <v>3.7100000000000001E-2</v>
          </cell>
          <cell r="Z34">
            <v>3.7100000000000001E-2</v>
          </cell>
          <cell r="AA34">
            <v>3.7100000000000001E-2</v>
          </cell>
          <cell r="AB34">
            <v>4.0899999999999999E-2</v>
          </cell>
          <cell r="AC34">
            <v>4.0899999999999999E-2</v>
          </cell>
          <cell r="AD34">
            <v>4.0899999999999999E-2</v>
          </cell>
          <cell r="AE34">
            <v>4.0899999999999999E-2</v>
          </cell>
          <cell r="AF34">
            <v>4.0899999999999999E-2</v>
          </cell>
          <cell r="AG34">
            <v>4.0899999999999999E-2</v>
          </cell>
          <cell r="AH34">
            <v>3.9399999999999998E-2</v>
          </cell>
          <cell r="AI34">
            <v>4.5699999999999998E-2</v>
          </cell>
          <cell r="AJ34">
            <v>4.02E-2</v>
          </cell>
          <cell r="AK34">
            <v>4.0599999999999997E-2</v>
          </cell>
          <cell r="AL34">
            <v>4.1500000000000002E-2</v>
          </cell>
          <cell r="AM34">
            <v>2E-3</v>
          </cell>
          <cell r="AN34">
            <v>2E-3</v>
          </cell>
          <cell r="AO34">
            <v>2E-3</v>
          </cell>
          <cell r="AP34">
            <v>2E-3</v>
          </cell>
          <cell r="AQ34">
            <v>2E-3</v>
          </cell>
          <cell r="AR34">
            <v>2E-3</v>
          </cell>
          <cell r="AS34">
            <v>2E-3</v>
          </cell>
          <cell r="AT34">
            <v>2E-3</v>
          </cell>
          <cell r="AU34">
            <v>2E-3</v>
          </cell>
        </row>
        <row r="45">
          <cell r="C45" t="str">
            <v xml:space="preserve">H-PAUTE </v>
          </cell>
          <cell r="D45" t="str">
            <v>H-PUCARA</v>
          </cell>
          <cell r="E45" t="str">
            <v>H-NACION</v>
          </cell>
          <cell r="F45" t="str">
            <v>E-TRINIT</v>
          </cell>
          <cell r="G45" t="str">
            <v>IN-COLOM</v>
          </cell>
          <cell r="H45" t="str">
            <v xml:space="preserve">T-ESMER </v>
          </cell>
          <cell r="I45" t="str">
            <v>E.GZ.TV3</v>
          </cell>
          <cell r="J45" t="str">
            <v>E.GZ.TV2</v>
          </cell>
          <cell r="K45" t="str">
            <v>CSURDES1</v>
          </cell>
          <cell r="L45" t="str">
            <v>CSURDES2</v>
          </cell>
          <cell r="M45" t="str">
            <v>CSURDES3</v>
          </cell>
          <cell r="N45" t="str">
            <v>CSURDES4</v>
          </cell>
          <cell r="O45" t="str">
            <v>E.VASANT</v>
          </cell>
          <cell r="P45" t="str">
            <v>TPGUANG1</v>
          </cell>
          <cell r="Q45" t="str">
            <v>TPGUANG2</v>
          </cell>
          <cell r="R45" t="str">
            <v>TPGUANG3</v>
          </cell>
          <cell r="S45" t="str">
            <v>TPGUANG4</v>
          </cell>
          <cell r="T45" t="str">
            <v>TPGUANG5</v>
          </cell>
          <cell r="U45" t="str">
            <v>VGQL1-U1</v>
          </cell>
          <cell r="V45" t="str">
            <v>VGQL1-U2</v>
          </cell>
          <cell r="W45" t="str">
            <v>VGQL2-U3</v>
          </cell>
          <cell r="X45" t="str">
            <v>VGQL2-U4</v>
          </cell>
          <cell r="Y45" t="str">
            <v>AGOYAN_H</v>
          </cell>
          <cell r="Z45" t="str">
            <v>EEQ_HIDR</v>
          </cell>
          <cell r="AA45" t="str">
            <v xml:space="preserve">C-SUR_H </v>
          </cell>
          <cell r="AB45" t="str">
            <v>RIOBAM_H</v>
          </cell>
          <cell r="AC45" t="str">
            <v>COTOPX_H</v>
          </cell>
          <cell r="AD45" t="str">
            <v>RNORTE_H</v>
          </cell>
          <cell r="AE45" t="str">
            <v>AMBATO_H</v>
          </cell>
          <cell r="AF45" t="str">
            <v>BOLIVR_H</v>
          </cell>
          <cell r="AG45" t="str">
            <v xml:space="preserve">R-SUR_H </v>
          </cell>
        </row>
        <row r="47">
          <cell r="C47">
            <v>349.33</v>
          </cell>
          <cell r="D47">
            <v>0</v>
          </cell>
          <cell r="E47">
            <v>0</v>
          </cell>
          <cell r="F47">
            <v>90.98</v>
          </cell>
          <cell r="G47">
            <v>0</v>
          </cell>
          <cell r="H47">
            <v>119.92</v>
          </cell>
          <cell r="I47">
            <v>69.08</v>
          </cell>
          <cell r="J47">
            <v>69.08</v>
          </cell>
          <cell r="K47">
            <v>3.6</v>
          </cell>
          <cell r="L47">
            <v>3.6</v>
          </cell>
          <cell r="M47">
            <v>3.6</v>
          </cell>
          <cell r="N47">
            <v>3.6</v>
          </cell>
          <cell r="O47">
            <v>32.68</v>
          </cell>
          <cell r="P47">
            <v>4.68</v>
          </cell>
          <cell r="Q47">
            <v>4.1500000000000004</v>
          </cell>
          <cell r="R47">
            <v>4.68</v>
          </cell>
          <cell r="S47">
            <v>4.68</v>
          </cell>
          <cell r="T47">
            <v>0</v>
          </cell>
          <cell r="U47">
            <v>4.7300000000000004</v>
          </cell>
          <cell r="V47">
            <v>4.46</v>
          </cell>
          <cell r="W47">
            <v>7.88</v>
          </cell>
          <cell r="X47">
            <v>7.88</v>
          </cell>
          <cell r="Y47">
            <v>60</v>
          </cell>
          <cell r="Z47">
            <v>27.8</v>
          </cell>
          <cell r="AA47">
            <v>12</v>
          </cell>
          <cell r="AB47">
            <v>10.16</v>
          </cell>
          <cell r="AC47">
            <v>2.5</v>
          </cell>
          <cell r="AD47">
            <v>3</v>
          </cell>
          <cell r="AE47">
            <v>1.07</v>
          </cell>
          <cell r="AF47">
            <v>0.3</v>
          </cell>
          <cell r="AG47">
            <v>0.9</v>
          </cell>
        </row>
        <row r="48">
          <cell r="C48">
            <v>315.58999999999997</v>
          </cell>
          <cell r="D48">
            <v>0</v>
          </cell>
          <cell r="E48">
            <v>0</v>
          </cell>
          <cell r="F48">
            <v>90.98</v>
          </cell>
          <cell r="G48">
            <v>0</v>
          </cell>
          <cell r="H48">
            <v>119.92</v>
          </cell>
          <cell r="I48">
            <v>69.08</v>
          </cell>
          <cell r="J48">
            <v>69.08</v>
          </cell>
          <cell r="K48">
            <v>3.6</v>
          </cell>
          <cell r="L48">
            <v>3.6</v>
          </cell>
          <cell r="M48">
            <v>3.6</v>
          </cell>
          <cell r="N48">
            <v>3.6</v>
          </cell>
          <cell r="O48">
            <v>32.68</v>
          </cell>
          <cell r="P48">
            <v>4.68</v>
          </cell>
          <cell r="Q48">
            <v>4.1500000000000004</v>
          </cell>
          <cell r="R48">
            <v>4.68</v>
          </cell>
          <cell r="S48">
            <v>4.68</v>
          </cell>
          <cell r="T48">
            <v>0</v>
          </cell>
          <cell r="U48">
            <v>4.7300000000000004</v>
          </cell>
          <cell r="V48">
            <v>4.46</v>
          </cell>
          <cell r="W48">
            <v>7.88</v>
          </cell>
          <cell r="X48">
            <v>7.88</v>
          </cell>
          <cell r="Y48">
            <v>60</v>
          </cell>
          <cell r="Z48">
            <v>27.8</v>
          </cell>
          <cell r="AA48">
            <v>12</v>
          </cell>
          <cell r="AB48">
            <v>10.16</v>
          </cell>
          <cell r="AC48">
            <v>2.5</v>
          </cell>
          <cell r="AD48">
            <v>3</v>
          </cell>
          <cell r="AE48">
            <v>1.07</v>
          </cell>
          <cell r="AF48">
            <v>0.3</v>
          </cell>
          <cell r="AG48">
            <v>0.9</v>
          </cell>
        </row>
        <row r="49">
          <cell r="C49">
            <v>281.95999999999998</v>
          </cell>
          <cell r="D49">
            <v>0</v>
          </cell>
          <cell r="E49">
            <v>0</v>
          </cell>
          <cell r="F49">
            <v>90.98</v>
          </cell>
          <cell r="G49">
            <v>0</v>
          </cell>
          <cell r="H49">
            <v>119.92</v>
          </cell>
          <cell r="I49">
            <v>69.08</v>
          </cell>
          <cell r="J49">
            <v>69.08</v>
          </cell>
          <cell r="K49">
            <v>3.6</v>
          </cell>
          <cell r="L49">
            <v>3.6</v>
          </cell>
          <cell r="M49">
            <v>3.6</v>
          </cell>
          <cell r="N49">
            <v>3.6</v>
          </cell>
          <cell r="O49">
            <v>32.68</v>
          </cell>
          <cell r="P49">
            <v>4.68</v>
          </cell>
          <cell r="Q49">
            <v>4.1500000000000004</v>
          </cell>
          <cell r="R49">
            <v>4.68</v>
          </cell>
          <cell r="S49">
            <v>4.68</v>
          </cell>
          <cell r="T49">
            <v>0</v>
          </cell>
          <cell r="U49">
            <v>4.7300000000000004</v>
          </cell>
          <cell r="V49">
            <v>4.46</v>
          </cell>
          <cell r="W49">
            <v>7.88</v>
          </cell>
          <cell r="X49">
            <v>7.88</v>
          </cell>
          <cell r="Y49">
            <v>60</v>
          </cell>
          <cell r="Z49">
            <v>27.8</v>
          </cell>
          <cell r="AA49">
            <v>12</v>
          </cell>
          <cell r="AB49">
            <v>10.16</v>
          </cell>
          <cell r="AC49">
            <v>2.5</v>
          </cell>
          <cell r="AD49">
            <v>3</v>
          </cell>
          <cell r="AE49">
            <v>1.07</v>
          </cell>
          <cell r="AF49">
            <v>0.3</v>
          </cell>
          <cell r="AG49">
            <v>0.9</v>
          </cell>
        </row>
        <row r="50">
          <cell r="C50">
            <v>273.24</v>
          </cell>
          <cell r="D50">
            <v>0</v>
          </cell>
          <cell r="E50">
            <v>0</v>
          </cell>
          <cell r="F50">
            <v>90.98</v>
          </cell>
          <cell r="G50">
            <v>0</v>
          </cell>
          <cell r="H50">
            <v>119.92</v>
          </cell>
          <cell r="I50">
            <v>69.08</v>
          </cell>
          <cell r="J50">
            <v>69.08</v>
          </cell>
          <cell r="K50">
            <v>3.6</v>
          </cell>
          <cell r="L50">
            <v>3.6</v>
          </cell>
          <cell r="M50">
            <v>3.6</v>
          </cell>
          <cell r="N50">
            <v>3.6</v>
          </cell>
          <cell r="O50">
            <v>32.68</v>
          </cell>
          <cell r="P50">
            <v>4.68</v>
          </cell>
          <cell r="Q50">
            <v>4.1500000000000004</v>
          </cell>
          <cell r="R50">
            <v>4.68</v>
          </cell>
          <cell r="S50">
            <v>4.68</v>
          </cell>
          <cell r="T50">
            <v>0</v>
          </cell>
          <cell r="U50">
            <v>4.7300000000000004</v>
          </cell>
          <cell r="V50">
            <v>4.46</v>
          </cell>
          <cell r="W50">
            <v>7.88</v>
          </cell>
          <cell r="X50">
            <v>7.88</v>
          </cell>
          <cell r="Y50">
            <v>60</v>
          </cell>
          <cell r="Z50">
            <v>27.8</v>
          </cell>
          <cell r="AA50">
            <v>12</v>
          </cell>
          <cell r="AB50">
            <v>10.16</v>
          </cell>
          <cell r="AC50">
            <v>2.5</v>
          </cell>
          <cell r="AD50">
            <v>3</v>
          </cell>
          <cell r="AE50">
            <v>1.07</v>
          </cell>
          <cell r="AF50">
            <v>0.3</v>
          </cell>
          <cell r="AG50">
            <v>0.9</v>
          </cell>
        </row>
        <row r="51">
          <cell r="C51">
            <v>264.52</v>
          </cell>
          <cell r="D51">
            <v>0</v>
          </cell>
          <cell r="E51">
            <v>0</v>
          </cell>
          <cell r="F51">
            <v>90.98</v>
          </cell>
          <cell r="G51">
            <v>0</v>
          </cell>
          <cell r="H51">
            <v>119.92</v>
          </cell>
          <cell r="I51">
            <v>69.08</v>
          </cell>
          <cell r="J51">
            <v>69.08</v>
          </cell>
          <cell r="K51">
            <v>3.6</v>
          </cell>
          <cell r="L51">
            <v>3.6</v>
          </cell>
          <cell r="M51">
            <v>3.6</v>
          </cell>
          <cell r="N51">
            <v>3.6</v>
          </cell>
          <cell r="O51">
            <v>32.68</v>
          </cell>
          <cell r="P51">
            <v>4.68</v>
          </cell>
          <cell r="Q51">
            <v>4.1500000000000004</v>
          </cell>
          <cell r="R51">
            <v>4.68</v>
          </cell>
          <cell r="S51">
            <v>4.68</v>
          </cell>
          <cell r="T51">
            <v>0</v>
          </cell>
          <cell r="U51">
            <v>4.7300000000000004</v>
          </cell>
          <cell r="V51">
            <v>4.46</v>
          </cell>
          <cell r="W51">
            <v>7.88</v>
          </cell>
          <cell r="X51">
            <v>7.88</v>
          </cell>
          <cell r="Y51">
            <v>60</v>
          </cell>
          <cell r="Z51">
            <v>27.8</v>
          </cell>
          <cell r="AA51">
            <v>12</v>
          </cell>
          <cell r="AB51">
            <v>10.16</v>
          </cell>
          <cell r="AC51">
            <v>2.5</v>
          </cell>
          <cell r="AD51">
            <v>3</v>
          </cell>
          <cell r="AE51">
            <v>1.07</v>
          </cell>
          <cell r="AF51">
            <v>0.3</v>
          </cell>
          <cell r="AG51">
            <v>0.9</v>
          </cell>
        </row>
        <row r="52">
          <cell r="C52">
            <v>237.95</v>
          </cell>
          <cell r="D52">
            <v>0</v>
          </cell>
          <cell r="E52">
            <v>0</v>
          </cell>
          <cell r="F52">
            <v>90.98</v>
          </cell>
          <cell r="G52">
            <v>0</v>
          </cell>
          <cell r="H52">
            <v>119.92</v>
          </cell>
          <cell r="I52">
            <v>69.08</v>
          </cell>
          <cell r="J52">
            <v>69.08</v>
          </cell>
          <cell r="K52">
            <v>3.6</v>
          </cell>
          <cell r="L52">
            <v>3.6</v>
          </cell>
          <cell r="M52">
            <v>3.6</v>
          </cell>
          <cell r="N52">
            <v>3.6</v>
          </cell>
          <cell r="O52">
            <v>32.68</v>
          </cell>
          <cell r="P52">
            <v>4.68</v>
          </cell>
          <cell r="Q52">
            <v>4.1500000000000004</v>
          </cell>
          <cell r="R52">
            <v>4.68</v>
          </cell>
          <cell r="S52">
            <v>4.68</v>
          </cell>
          <cell r="T52">
            <v>4.68</v>
          </cell>
          <cell r="U52">
            <v>4.7300000000000004</v>
          </cell>
          <cell r="V52">
            <v>4.46</v>
          </cell>
          <cell r="W52">
            <v>7.88</v>
          </cell>
          <cell r="X52">
            <v>7.88</v>
          </cell>
          <cell r="Y52">
            <v>60</v>
          </cell>
          <cell r="Z52">
            <v>27.8</v>
          </cell>
          <cell r="AA52">
            <v>12</v>
          </cell>
          <cell r="AB52">
            <v>10.16</v>
          </cell>
          <cell r="AC52">
            <v>2.5</v>
          </cell>
          <cell r="AD52">
            <v>3</v>
          </cell>
          <cell r="AE52">
            <v>1.07</v>
          </cell>
          <cell r="AF52">
            <v>0.3</v>
          </cell>
          <cell r="AG52">
            <v>0.9</v>
          </cell>
        </row>
        <row r="53">
          <cell r="C53">
            <v>199.64</v>
          </cell>
          <cell r="D53">
            <v>0</v>
          </cell>
          <cell r="E53">
            <v>0</v>
          </cell>
          <cell r="F53">
            <v>90.98</v>
          </cell>
          <cell r="G53">
            <v>0</v>
          </cell>
          <cell r="H53">
            <v>119.92</v>
          </cell>
          <cell r="I53">
            <v>69.08</v>
          </cell>
          <cell r="J53">
            <v>69.08</v>
          </cell>
          <cell r="K53">
            <v>3.6</v>
          </cell>
          <cell r="L53">
            <v>3.6</v>
          </cell>
          <cell r="M53">
            <v>3.6</v>
          </cell>
          <cell r="N53">
            <v>3.6</v>
          </cell>
          <cell r="O53">
            <v>32.68</v>
          </cell>
          <cell r="P53">
            <v>4.68</v>
          </cell>
          <cell r="Q53">
            <v>4.1500000000000004</v>
          </cell>
          <cell r="R53">
            <v>4.68</v>
          </cell>
          <cell r="S53">
            <v>4.68</v>
          </cell>
          <cell r="T53">
            <v>4.68</v>
          </cell>
          <cell r="U53">
            <v>4.7300000000000004</v>
          </cell>
          <cell r="V53">
            <v>4.46</v>
          </cell>
          <cell r="W53">
            <v>7.88</v>
          </cell>
          <cell r="X53">
            <v>7.88</v>
          </cell>
          <cell r="Y53">
            <v>60</v>
          </cell>
          <cell r="Z53">
            <v>27.8</v>
          </cell>
          <cell r="AA53">
            <v>12</v>
          </cell>
          <cell r="AB53">
            <v>10.16</v>
          </cell>
          <cell r="AC53">
            <v>2.5</v>
          </cell>
          <cell r="AD53">
            <v>3</v>
          </cell>
          <cell r="AE53">
            <v>1.07</v>
          </cell>
          <cell r="AF53">
            <v>0.3</v>
          </cell>
          <cell r="AG53">
            <v>0.9</v>
          </cell>
        </row>
        <row r="54">
          <cell r="C54">
            <v>247.41</v>
          </cell>
          <cell r="D54">
            <v>0</v>
          </cell>
          <cell r="E54">
            <v>0</v>
          </cell>
          <cell r="F54">
            <v>90.98</v>
          </cell>
          <cell r="G54">
            <v>0</v>
          </cell>
          <cell r="H54">
            <v>119.92</v>
          </cell>
          <cell r="I54">
            <v>69.08</v>
          </cell>
          <cell r="J54">
            <v>69.08</v>
          </cell>
          <cell r="K54">
            <v>3.6</v>
          </cell>
          <cell r="L54">
            <v>3.6</v>
          </cell>
          <cell r="M54">
            <v>3.6</v>
          </cell>
          <cell r="N54">
            <v>3.6</v>
          </cell>
          <cell r="O54">
            <v>32.68</v>
          </cell>
          <cell r="P54">
            <v>4.68</v>
          </cell>
          <cell r="Q54">
            <v>4.1500000000000004</v>
          </cell>
          <cell r="R54">
            <v>4.68</v>
          </cell>
          <cell r="S54">
            <v>4.68</v>
          </cell>
          <cell r="T54">
            <v>4.68</v>
          </cell>
          <cell r="U54">
            <v>4.7300000000000004</v>
          </cell>
          <cell r="V54">
            <v>4.46</v>
          </cell>
          <cell r="W54">
            <v>7.88</v>
          </cell>
          <cell r="X54">
            <v>7.88</v>
          </cell>
          <cell r="Y54">
            <v>60</v>
          </cell>
          <cell r="Z54">
            <v>27.8</v>
          </cell>
          <cell r="AA54">
            <v>12</v>
          </cell>
          <cell r="AB54">
            <v>10.16</v>
          </cell>
          <cell r="AC54">
            <v>2.5</v>
          </cell>
          <cell r="AD54">
            <v>3</v>
          </cell>
          <cell r="AE54">
            <v>1.07</v>
          </cell>
          <cell r="AF54">
            <v>0.3</v>
          </cell>
          <cell r="AG54">
            <v>0.9</v>
          </cell>
        </row>
        <row r="55">
          <cell r="C55">
            <v>272.35000000000002</v>
          </cell>
          <cell r="D55">
            <v>0</v>
          </cell>
          <cell r="E55">
            <v>0</v>
          </cell>
          <cell r="F55">
            <v>90.98</v>
          </cell>
          <cell r="G55">
            <v>0</v>
          </cell>
          <cell r="H55">
            <v>119.92</v>
          </cell>
          <cell r="I55">
            <v>69.08</v>
          </cell>
          <cell r="J55">
            <v>69.08</v>
          </cell>
          <cell r="K55">
            <v>3.6</v>
          </cell>
          <cell r="L55">
            <v>3.6</v>
          </cell>
          <cell r="M55">
            <v>3.6</v>
          </cell>
          <cell r="N55">
            <v>3.6</v>
          </cell>
          <cell r="O55">
            <v>32.68</v>
          </cell>
          <cell r="P55">
            <v>4.68</v>
          </cell>
          <cell r="Q55">
            <v>4.1500000000000004</v>
          </cell>
          <cell r="R55">
            <v>4.68</v>
          </cell>
          <cell r="S55">
            <v>4.68</v>
          </cell>
          <cell r="T55">
            <v>4.68</v>
          </cell>
          <cell r="U55">
            <v>4.7300000000000004</v>
          </cell>
          <cell r="V55">
            <v>4.46</v>
          </cell>
          <cell r="W55">
            <v>7.88</v>
          </cell>
          <cell r="X55">
            <v>7.88</v>
          </cell>
          <cell r="Y55">
            <v>60</v>
          </cell>
          <cell r="Z55">
            <v>27.8</v>
          </cell>
          <cell r="AA55">
            <v>12</v>
          </cell>
          <cell r="AB55">
            <v>10.16</v>
          </cell>
          <cell r="AC55">
            <v>2.5</v>
          </cell>
          <cell r="AD55">
            <v>3</v>
          </cell>
          <cell r="AE55">
            <v>1.07</v>
          </cell>
          <cell r="AF55">
            <v>0.3</v>
          </cell>
          <cell r="AG55">
            <v>0.93</v>
          </cell>
        </row>
        <row r="56">
          <cell r="C56">
            <v>287.94</v>
          </cell>
          <cell r="D56">
            <v>0</v>
          </cell>
          <cell r="E56">
            <v>0</v>
          </cell>
          <cell r="F56">
            <v>90.98</v>
          </cell>
          <cell r="G56">
            <v>0</v>
          </cell>
          <cell r="H56">
            <v>119.92</v>
          </cell>
          <cell r="I56">
            <v>69.08</v>
          </cell>
          <cell r="J56">
            <v>69.08</v>
          </cell>
          <cell r="K56">
            <v>3.6</v>
          </cell>
          <cell r="L56">
            <v>3.6</v>
          </cell>
          <cell r="M56">
            <v>3.6</v>
          </cell>
          <cell r="N56">
            <v>3.6</v>
          </cell>
          <cell r="O56">
            <v>32.68</v>
          </cell>
          <cell r="P56">
            <v>4.68</v>
          </cell>
          <cell r="Q56">
            <v>4.1500000000000004</v>
          </cell>
          <cell r="R56">
            <v>4.68</v>
          </cell>
          <cell r="S56">
            <v>4.68</v>
          </cell>
          <cell r="T56">
            <v>4.68</v>
          </cell>
          <cell r="U56">
            <v>4.7300000000000004</v>
          </cell>
          <cell r="V56">
            <v>4.46</v>
          </cell>
          <cell r="W56">
            <v>7.88</v>
          </cell>
          <cell r="X56">
            <v>7.88</v>
          </cell>
          <cell r="Y56">
            <v>60</v>
          </cell>
          <cell r="Z56">
            <v>27.8</v>
          </cell>
          <cell r="AA56">
            <v>12</v>
          </cell>
          <cell r="AB56">
            <v>10.16</v>
          </cell>
          <cell r="AC56">
            <v>2.5</v>
          </cell>
          <cell r="AD56">
            <v>3</v>
          </cell>
          <cell r="AE56">
            <v>1.07</v>
          </cell>
          <cell r="AF56">
            <v>0.3</v>
          </cell>
          <cell r="AG56">
            <v>1.74</v>
          </cell>
        </row>
        <row r="57">
          <cell r="C57">
            <v>285.04000000000002</v>
          </cell>
          <cell r="D57">
            <v>0</v>
          </cell>
          <cell r="E57">
            <v>0</v>
          </cell>
          <cell r="F57">
            <v>90.98</v>
          </cell>
          <cell r="G57">
            <v>24.01</v>
          </cell>
          <cell r="H57">
            <v>119.92</v>
          </cell>
          <cell r="I57">
            <v>69.08</v>
          </cell>
          <cell r="J57">
            <v>69.08</v>
          </cell>
          <cell r="K57">
            <v>3.6</v>
          </cell>
          <cell r="L57">
            <v>3.6</v>
          </cell>
          <cell r="M57">
            <v>3.6</v>
          </cell>
          <cell r="N57">
            <v>3.6</v>
          </cell>
          <cell r="O57">
            <v>32.68</v>
          </cell>
          <cell r="P57">
            <v>4.68</v>
          </cell>
          <cell r="Q57">
            <v>4.1500000000000004</v>
          </cell>
          <cell r="R57">
            <v>4.68</v>
          </cell>
          <cell r="S57">
            <v>4.68</v>
          </cell>
          <cell r="T57">
            <v>4.68</v>
          </cell>
          <cell r="U57">
            <v>4.7300000000000004</v>
          </cell>
          <cell r="V57">
            <v>4.46</v>
          </cell>
          <cell r="W57">
            <v>7.88</v>
          </cell>
          <cell r="X57">
            <v>7.88</v>
          </cell>
          <cell r="Y57">
            <v>60</v>
          </cell>
          <cell r="Z57">
            <v>27.8</v>
          </cell>
          <cell r="AA57">
            <v>12</v>
          </cell>
          <cell r="AB57">
            <v>10.16</v>
          </cell>
          <cell r="AC57">
            <v>2.5</v>
          </cell>
          <cell r="AD57">
            <v>3</v>
          </cell>
          <cell r="AE57">
            <v>1.07</v>
          </cell>
          <cell r="AF57">
            <v>0.3</v>
          </cell>
          <cell r="AG57">
            <v>1.74</v>
          </cell>
        </row>
        <row r="58">
          <cell r="C58">
            <v>281.66000000000003</v>
          </cell>
          <cell r="D58">
            <v>0</v>
          </cell>
          <cell r="E58">
            <v>0</v>
          </cell>
          <cell r="F58">
            <v>90.98</v>
          </cell>
          <cell r="G58">
            <v>24.01</v>
          </cell>
          <cell r="H58">
            <v>119.92</v>
          </cell>
          <cell r="I58">
            <v>69.08</v>
          </cell>
          <cell r="J58">
            <v>69.08</v>
          </cell>
          <cell r="K58">
            <v>3.6</v>
          </cell>
          <cell r="L58">
            <v>3.6</v>
          </cell>
          <cell r="M58">
            <v>3.6</v>
          </cell>
          <cell r="N58">
            <v>3.6</v>
          </cell>
          <cell r="O58">
            <v>32.68</v>
          </cell>
          <cell r="P58">
            <v>4.68</v>
          </cell>
          <cell r="Q58">
            <v>4.1500000000000004</v>
          </cell>
          <cell r="R58">
            <v>4.68</v>
          </cell>
          <cell r="S58">
            <v>4.68</v>
          </cell>
          <cell r="T58">
            <v>4.68</v>
          </cell>
          <cell r="U58">
            <v>4.7300000000000004</v>
          </cell>
          <cell r="V58">
            <v>4.46</v>
          </cell>
          <cell r="W58">
            <v>7.88</v>
          </cell>
          <cell r="X58">
            <v>7.88</v>
          </cell>
          <cell r="Y58">
            <v>60</v>
          </cell>
          <cell r="Z58">
            <v>27.8</v>
          </cell>
          <cell r="AA58">
            <v>12</v>
          </cell>
          <cell r="AB58">
            <v>10.16</v>
          </cell>
          <cell r="AC58">
            <v>2.5</v>
          </cell>
          <cell r="AD58">
            <v>3</v>
          </cell>
          <cell r="AE58">
            <v>1.07</v>
          </cell>
          <cell r="AF58">
            <v>0.3</v>
          </cell>
          <cell r="AG58">
            <v>1.74</v>
          </cell>
        </row>
        <row r="59">
          <cell r="C59">
            <v>66.900000000000006</v>
          </cell>
          <cell r="D59">
            <v>0</v>
          </cell>
          <cell r="E59">
            <v>205.58</v>
          </cell>
          <cell r="F59">
            <v>90.98</v>
          </cell>
          <cell r="G59">
            <v>24.01</v>
          </cell>
          <cell r="H59">
            <v>119.92</v>
          </cell>
          <cell r="I59">
            <v>69.08</v>
          </cell>
          <cell r="J59">
            <v>69.08</v>
          </cell>
          <cell r="K59">
            <v>3.6</v>
          </cell>
          <cell r="L59">
            <v>3.6</v>
          </cell>
          <cell r="M59">
            <v>3.6</v>
          </cell>
          <cell r="N59">
            <v>3.6</v>
          </cell>
          <cell r="O59">
            <v>32.68</v>
          </cell>
          <cell r="P59">
            <v>4.68</v>
          </cell>
          <cell r="Q59">
            <v>4.1500000000000004</v>
          </cell>
          <cell r="R59">
            <v>4.68</v>
          </cell>
          <cell r="S59">
            <v>4.68</v>
          </cell>
          <cell r="T59">
            <v>4.68</v>
          </cell>
          <cell r="U59">
            <v>4.7300000000000004</v>
          </cell>
          <cell r="V59">
            <v>4.46</v>
          </cell>
          <cell r="W59">
            <v>7.88</v>
          </cell>
          <cell r="X59">
            <v>7.88</v>
          </cell>
          <cell r="Y59">
            <v>60</v>
          </cell>
          <cell r="Z59">
            <v>27.8</v>
          </cell>
          <cell r="AA59">
            <v>12</v>
          </cell>
          <cell r="AB59">
            <v>10.16</v>
          </cell>
          <cell r="AC59">
            <v>2.5</v>
          </cell>
          <cell r="AD59">
            <v>3</v>
          </cell>
          <cell r="AE59">
            <v>1.07</v>
          </cell>
          <cell r="AF59">
            <v>0.3</v>
          </cell>
          <cell r="AG59">
            <v>1.74</v>
          </cell>
        </row>
        <row r="60">
          <cell r="C60">
            <v>2.94</v>
          </cell>
          <cell r="D60">
            <v>70.31</v>
          </cell>
          <cell r="E60">
            <v>205.58</v>
          </cell>
          <cell r="F60">
            <v>90.98</v>
          </cell>
          <cell r="G60">
            <v>24.01</v>
          </cell>
          <cell r="H60">
            <v>119.92</v>
          </cell>
          <cell r="I60">
            <v>69.08</v>
          </cell>
          <cell r="J60">
            <v>69.08</v>
          </cell>
          <cell r="K60">
            <v>3.6</v>
          </cell>
          <cell r="L60">
            <v>3.6</v>
          </cell>
          <cell r="M60">
            <v>3.6</v>
          </cell>
          <cell r="N60">
            <v>3.6</v>
          </cell>
          <cell r="O60">
            <v>32.68</v>
          </cell>
          <cell r="P60">
            <v>4.68</v>
          </cell>
          <cell r="Q60">
            <v>4.1500000000000004</v>
          </cell>
          <cell r="R60">
            <v>4.68</v>
          </cell>
          <cell r="S60">
            <v>4.68</v>
          </cell>
          <cell r="T60">
            <v>4.68</v>
          </cell>
          <cell r="U60">
            <v>4.7300000000000004</v>
          </cell>
          <cell r="V60">
            <v>4.46</v>
          </cell>
          <cell r="W60">
            <v>7.88</v>
          </cell>
          <cell r="X60">
            <v>7.88</v>
          </cell>
          <cell r="Y60">
            <v>60</v>
          </cell>
          <cell r="Z60">
            <v>27.8</v>
          </cell>
          <cell r="AA60">
            <v>12</v>
          </cell>
          <cell r="AB60">
            <v>10.16</v>
          </cell>
          <cell r="AC60">
            <v>2.5</v>
          </cell>
          <cell r="AD60">
            <v>3</v>
          </cell>
          <cell r="AE60">
            <v>1.07</v>
          </cell>
          <cell r="AF60">
            <v>0.3</v>
          </cell>
          <cell r="AG60">
            <v>1.74</v>
          </cell>
        </row>
        <row r="61">
          <cell r="C61">
            <v>1.56</v>
          </cell>
          <cell r="D61">
            <v>70.31</v>
          </cell>
          <cell r="E61">
            <v>205.58</v>
          </cell>
          <cell r="F61">
            <v>90.98</v>
          </cell>
          <cell r="G61">
            <v>24.01</v>
          </cell>
          <cell r="H61">
            <v>119.92</v>
          </cell>
          <cell r="I61">
            <v>69.08</v>
          </cell>
          <cell r="J61">
            <v>69.08</v>
          </cell>
          <cell r="K61">
            <v>3.6</v>
          </cell>
          <cell r="L61">
            <v>3.6</v>
          </cell>
          <cell r="M61">
            <v>3.6</v>
          </cell>
          <cell r="N61">
            <v>3.6</v>
          </cell>
          <cell r="O61">
            <v>32.68</v>
          </cell>
          <cell r="P61">
            <v>4.68</v>
          </cell>
          <cell r="Q61">
            <v>4.1500000000000004</v>
          </cell>
          <cell r="R61">
            <v>4.68</v>
          </cell>
          <cell r="S61">
            <v>4.68</v>
          </cell>
          <cell r="T61">
            <v>4.68</v>
          </cell>
          <cell r="U61">
            <v>4.7300000000000004</v>
          </cell>
          <cell r="V61">
            <v>4.46</v>
          </cell>
          <cell r="W61">
            <v>7.88</v>
          </cell>
          <cell r="X61">
            <v>7.88</v>
          </cell>
          <cell r="Y61">
            <v>60</v>
          </cell>
          <cell r="Z61">
            <v>27.8</v>
          </cell>
          <cell r="AA61">
            <v>12</v>
          </cell>
          <cell r="AB61">
            <v>10.16</v>
          </cell>
          <cell r="AC61">
            <v>2.5</v>
          </cell>
          <cell r="AD61">
            <v>3</v>
          </cell>
          <cell r="AE61">
            <v>1.07</v>
          </cell>
          <cell r="AF61">
            <v>0.49</v>
          </cell>
          <cell r="AG61">
            <v>1.74</v>
          </cell>
        </row>
        <row r="62">
          <cell r="C62">
            <v>0</v>
          </cell>
          <cell r="D62">
            <v>67.86</v>
          </cell>
          <cell r="E62">
            <v>205.58</v>
          </cell>
          <cell r="F62">
            <v>90.98</v>
          </cell>
          <cell r="G62">
            <v>24.01</v>
          </cell>
          <cell r="H62">
            <v>119.92</v>
          </cell>
          <cell r="I62">
            <v>69.08</v>
          </cell>
          <cell r="J62">
            <v>69.08</v>
          </cell>
          <cell r="K62">
            <v>3.6</v>
          </cell>
          <cell r="L62">
            <v>3.6</v>
          </cell>
          <cell r="M62">
            <v>3.6</v>
          </cell>
          <cell r="N62">
            <v>3.6</v>
          </cell>
          <cell r="O62">
            <v>32.68</v>
          </cell>
          <cell r="P62">
            <v>0</v>
          </cell>
          <cell r="Q62">
            <v>0.52</v>
          </cell>
          <cell r="R62">
            <v>4.68</v>
          </cell>
          <cell r="S62">
            <v>4.68</v>
          </cell>
          <cell r="T62">
            <v>4.68</v>
          </cell>
          <cell r="U62">
            <v>4.46</v>
          </cell>
          <cell r="V62">
            <v>4.46</v>
          </cell>
          <cell r="W62">
            <v>7.88</v>
          </cell>
          <cell r="X62">
            <v>7.88</v>
          </cell>
          <cell r="Y62">
            <v>60</v>
          </cell>
          <cell r="Z62">
            <v>37.369999999999997</v>
          </cell>
          <cell r="AA62">
            <v>13.73</v>
          </cell>
          <cell r="AB62">
            <v>10.16</v>
          </cell>
          <cell r="AC62">
            <v>2.5</v>
          </cell>
          <cell r="AD62">
            <v>3</v>
          </cell>
          <cell r="AE62">
            <v>1.07</v>
          </cell>
          <cell r="AF62">
            <v>0.67</v>
          </cell>
          <cell r="AG62">
            <v>1.74</v>
          </cell>
        </row>
        <row r="63">
          <cell r="C63">
            <v>0</v>
          </cell>
          <cell r="D63">
            <v>30.08</v>
          </cell>
          <cell r="E63">
            <v>184.45</v>
          </cell>
          <cell r="F63">
            <v>90.98</v>
          </cell>
          <cell r="G63">
            <v>24.01</v>
          </cell>
          <cell r="H63">
            <v>119.92</v>
          </cell>
          <cell r="I63">
            <v>69.08</v>
          </cell>
          <cell r="J63">
            <v>69.08</v>
          </cell>
          <cell r="K63">
            <v>3.6</v>
          </cell>
          <cell r="L63">
            <v>3.6</v>
          </cell>
          <cell r="M63">
            <v>3.6</v>
          </cell>
          <cell r="N63">
            <v>3.6</v>
          </cell>
          <cell r="O63">
            <v>32.68</v>
          </cell>
          <cell r="P63">
            <v>4.68</v>
          </cell>
          <cell r="Q63">
            <v>4.1500000000000004</v>
          </cell>
          <cell r="R63">
            <v>4.68</v>
          </cell>
          <cell r="S63">
            <v>4.68</v>
          </cell>
          <cell r="T63">
            <v>4.68</v>
          </cell>
          <cell r="U63">
            <v>4.46</v>
          </cell>
          <cell r="V63">
            <v>4.46</v>
          </cell>
          <cell r="W63">
            <v>7.88</v>
          </cell>
          <cell r="X63">
            <v>7.88</v>
          </cell>
          <cell r="Y63">
            <v>60</v>
          </cell>
          <cell r="Z63">
            <v>74.45</v>
          </cell>
          <cell r="AA63">
            <v>37.049999999999997</v>
          </cell>
          <cell r="AB63">
            <v>10.16</v>
          </cell>
          <cell r="AC63">
            <v>2.5</v>
          </cell>
          <cell r="AD63">
            <v>3</v>
          </cell>
          <cell r="AE63">
            <v>1.07</v>
          </cell>
          <cell r="AF63">
            <v>0.67</v>
          </cell>
          <cell r="AG63">
            <v>1.74</v>
          </cell>
        </row>
        <row r="64">
          <cell r="C64">
            <v>52.17</v>
          </cell>
          <cell r="D64">
            <v>70.31</v>
          </cell>
          <cell r="E64">
            <v>205.58</v>
          </cell>
          <cell r="F64">
            <v>90.98</v>
          </cell>
          <cell r="G64">
            <v>24.01</v>
          </cell>
          <cell r="H64">
            <v>119.92</v>
          </cell>
          <cell r="I64">
            <v>69.08</v>
          </cell>
          <cell r="J64">
            <v>69.08</v>
          </cell>
          <cell r="K64">
            <v>3.6</v>
          </cell>
          <cell r="L64">
            <v>3.6</v>
          </cell>
          <cell r="M64">
            <v>3.6</v>
          </cell>
          <cell r="N64">
            <v>3.6</v>
          </cell>
          <cell r="O64">
            <v>32.68</v>
          </cell>
          <cell r="P64">
            <v>4.68</v>
          </cell>
          <cell r="Q64">
            <v>4.1500000000000004</v>
          </cell>
          <cell r="R64">
            <v>4.68</v>
          </cell>
          <cell r="S64">
            <v>4.68</v>
          </cell>
          <cell r="T64">
            <v>4.68</v>
          </cell>
          <cell r="U64">
            <v>4.7300000000000004</v>
          </cell>
          <cell r="V64">
            <v>4.46</v>
          </cell>
          <cell r="W64">
            <v>7.88</v>
          </cell>
          <cell r="X64">
            <v>7.88</v>
          </cell>
          <cell r="Y64">
            <v>60</v>
          </cell>
          <cell r="Z64">
            <v>74.45</v>
          </cell>
          <cell r="AA64">
            <v>37.049999999999997</v>
          </cell>
          <cell r="AB64">
            <v>10.16</v>
          </cell>
          <cell r="AC64">
            <v>2.5</v>
          </cell>
          <cell r="AD64">
            <v>3</v>
          </cell>
          <cell r="AE64">
            <v>1.07</v>
          </cell>
          <cell r="AF64">
            <v>0.67</v>
          </cell>
          <cell r="AG64">
            <v>1.74</v>
          </cell>
        </row>
        <row r="65">
          <cell r="C65">
            <v>480.68</v>
          </cell>
          <cell r="D65">
            <v>70.31</v>
          </cell>
          <cell r="E65">
            <v>205.58</v>
          </cell>
          <cell r="F65">
            <v>90.98</v>
          </cell>
          <cell r="G65">
            <v>24.01</v>
          </cell>
          <cell r="H65">
            <v>119.92</v>
          </cell>
          <cell r="I65">
            <v>69.08</v>
          </cell>
          <cell r="J65">
            <v>69.08</v>
          </cell>
          <cell r="K65">
            <v>3.6</v>
          </cell>
          <cell r="L65">
            <v>3.6</v>
          </cell>
          <cell r="M65">
            <v>3.6</v>
          </cell>
          <cell r="N65">
            <v>3.6</v>
          </cell>
          <cell r="O65">
            <v>32.68</v>
          </cell>
          <cell r="P65">
            <v>4.68</v>
          </cell>
          <cell r="Q65">
            <v>4.1500000000000004</v>
          </cell>
          <cell r="R65">
            <v>4.68</v>
          </cell>
          <cell r="S65">
            <v>4.68</v>
          </cell>
          <cell r="T65">
            <v>4.68</v>
          </cell>
          <cell r="U65">
            <v>4.7300000000000004</v>
          </cell>
          <cell r="V65">
            <v>4.46</v>
          </cell>
          <cell r="W65">
            <v>9.18</v>
          </cell>
          <cell r="X65">
            <v>7.88</v>
          </cell>
          <cell r="Y65">
            <v>154.4</v>
          </cell>
          <cell r="Z65">
            <v>74.45</v>
          </cell>
          <cell r="AA65">
            <v>37.049999999999997</v>
          </cell>
          <cell r="AB65">
            <v>10.16</v>
          </cell>
          <cell r="AC65">
            <v>4.82</v>
          </cell>
          <cell r="AD65">
            <v>10.029999999999999</v>
          </cell>
          <cell r="AE65">
            <v>1.44</v>
          </cell>
          <cell r="AF65">
            <v>0.67</v>
          </cell>
          <cell r="AG65">
            <v>1.74</v>
          </cell>
        </row>
        <row r="66">
          <cell r="C66">
            <v>461.56</v>
          </cell>
          <cell r="D66">
            <v>70.31</v>
          </cell>
          <cell r="E66">
            <v>205.58</v>
          </cell>
          <cell r="F66">
            <v>90.98</v>
          </cell>
          <cell r="G66">
            <v>24.01</v>
          </cell>
          <cell r="H66">
            <v>119.92</v>
          </cell>
          <cell r="I66">
            <v>69.08</v>
          </cell>
          <cell r="J66">
            <v>69.08</v>
          </cell>
          <cell r="K66">
            <v>3.6</v>
          </cell>
          <cell r="L66">
            <v>3.6</v>
          </cell>
          <cell r="M66">
            <v>3.6</v>
          </cell>
          <cell r="N66">
            <v>3.6</v>
          </cell>
          <cell r="O66">
            <v>32.68</v>
          </cell>
          <cell r="P66">
            <v>4.68</v>
          </cell>
          <cell r="Q66">
            <v>4.1500000000000004</v>
          </cell>
          <cell r="R66">
            <v>4.68</v>
          </cell>
          <cell r="S66">
            <v>4.68</v>
          </cell>
          <cell r="T66">
            <v>4.68</v>
          </cell>
          <cell r="U66">
            <v>4.7300000000000004</v>
          </cell>
          <cell r="V66">
            <v>4.46</v>
          </cell>
          <cell r="W66">
            <v>7.96</v>
          </cell>
          <cell r="X66">
            <v>7.88</v>
          </cell>
          <cell r="Y66">
            <v>154.4</v>
          </cell>
          <cell r="Z66">
            <v>74.45</v>
          </cell>
          <cell r="AA66">
            <v>37.049999999999997</v>
          </cell>
          <cell r="AB66">
            <v>10.16</v>
          </cell>
          <cell r="AC66">
            <v>4.82</v>
          </cell>
          <cell r="AD66">
            <v>10.029999999999999</v>
          </cell>
          <cell r="AE66">
            <v>1.44</v>
          </cell>
          <cell r="AF66">
            <v>0.67</v>
          </cell>
          <cell r="AG66">
            <v>1.74</v>
          </cell>
        </row>
        <row r="67">
          <cell r="C67">
            <v>360.92</v>
          </cell>
          <cell r="D67">
            <v>70.31</v>
          </cell>
          <cell r="E67">
            <v>205.58</v>
          </cell>
          <cell r="F67">
            <v>90.98</v>
          </cell>
          <cell r="G67">
            <v>24.01</v>
          </cell>
          <cell r="H67">
            <v>119.92</v>
          </cell>
          <cell r="I67">
            <v>69.08</v>
          </cell>
          <cell r="J67">
            <v>69.08</v>
          </cell>
          <cell r="K67">
            <v>3.6</v>
          </cell>
          <cell r="L67">
            <v>3.6</v>
          </cell>
          <cell r="M67">
            <v>3.6</v>
          </cell>
          <cell r="N67">
            <v>3.6</v>
          </cell>
          <cell r="O67">
            <v>32.68</v>
          </cell>
          <cell r="P67">
            <v>4.68</v>
          </cell>
          <cell r="Q67">
            <v>4.1500000000000004</v>
          </cell>
          <cell r="R67">
            <v>4.68</v>
          </cell>
          <cell r="S67">
            <v>4.68</v>
          </cell>
          <cell r="T67">
            <v>4.68</v>
          </cell>
          <cell r="U67">
            <v>4.7300000000000004</v>
          </cell>
          <cell r="V67">
            <v>4.46</v>
          </cell>
          <cell r="W67">
            <v>7.88</v>
          </cell>
          <cell r="X67">
            <v>7.88</v>
          </cell>
          <cell r="Y67">
            <v>154.4</v>
          </cell>
          <cell r="Z67">
            <v>74.45</v>
          </cell>
          <cell r="AA67">
            <v>37.049999999999997</v>
          </cell>
          <cell r="AB67">
            <v>10.16</v>
          </cell>
          <cell r="AC67">
            <v>4.5199999999999996</v>
          </cell>
          <cell r="AD67">
            <v>10.029999999999999</v>
          </cell>
          <cell r="AE67">
            <v>1.32</v>
          </cell>
          <cell r="AF67">
            <v>0.67</v>
          </cell>
          <cell r="AG67">
            <v>1.74</v>
          </cell>
        </row>
        <row r="68">
          <cell r="C68">
            <v>191.48</v>
          </cell>
          <cell r="D68">
            <v>70.31</v>
          </cell>
          <cell r="E68">
            <v>205.58</v>
          </cell>
          <cell r="F68">
            <v>90.98</v>
          </cell>
          <cell r="G68">
            <v>24.01</v>
          </cell>
          <cell r="H68">
            <v>119.92</v>
          </cell>
          <cell r="I68">
            <v>69.08</v>
          </cell>
          <cell r="J68">
            <v>69.08</v>
          </cell>
          <cell r="K68">
            <v>3.6</v>
          </cell>
          <cell r="L68">
            <v>3.6</v>
          </cell>
          <cell r="M68">
            <v>3.6</v>
          </cell>
          <cell r="N68">
            <v>3.6</v>
          </cell>
          <cell r="O68">
            <v>32.68</v>
          </cell>
          <cell r="P68">
            <v>4.68</v>
          </cell>
          <cell r="Q68">
            <v>4.1500000000000004</v>
          </cell>
          <cell r="R68">
            <v>4.68</v>
          </cell>
          <cell r="S68">
            <v>4.68</v>
          </cell>
          <cell r="T68">
            <v>4.68</v>
          </cell>
          <cell r="U68">
            <v>4.7300000000000004</v>
          </cell>
          <cell r="V68">
            <v>4.46</v>
          </cell>
          <cell r="W68">
            <v>7.88</v>
          </cell>
          <cell r="X68">
            <v>7.88</v>
          </cell>
          <cell r="Y68">
            <v>123.48</v>
          </cell>
          <cell r="Z68">
            <v>74.45</v>
          </cell>
          <cell r="AA68">
            <v>37.049999999999997</v>
          </cell>
          <cell r="AB68">
            <v>10.16</v>
          </cell>
          <cell r="AC68">
            <v>2.5</v>
          </cell>
          <cell r="AD68">
            <v>9.9</v>
          </cell>
          <cell r="AE68">
            <v>1.07</v>
          </cell>
          <cell r="AF68">
            <v>0.67</v>
          </cell>
          <cell r="AG68">
            <v>1.74</v>
          </cell>
        </row>
        <row r="69">
          <cell r="C69">
            <v>203.59</v>
          </cell>
          <cell r="D69">
            <v>0</v>
          </cell>
          <cell r="E69">
            <v>205.58</v>
          </cell>
          <cell r="F69">
            <v>90.98</v>
          </cell>
          <cell r="G69">
            <v>24.01</v>
          </cell>
          <cell r="H69">
            <v>119.92</v>
          </cell>
          <cell r="I69">
            <v>69.08</v>
          </cell>
          <cell r="J69">
            <v>69.08</v>
          </cell>
          <cell r="K69">
            <v>3.6</v>
          </cell>
          <cell r="L69">
            <v>3.6</v>
          </cell>
          <cell r="M69">
            <v>3.6</v>
          </cell>
          <cell r="N69">
            <v>3.6</v>
          </cell>
          <cell r="O69">
            <v>32.68</v>
          </cell>
          <cell r="P69">
            <v>4.68</v>
          </cell>
          <cell r="Q69">
            <v>4.1500000000000004</v>
          </cell>
          <cell r="R69">
            <v>4.68</v>
          </cell>
          <cell r="S69">
            <v>4.68</v>
          </cell>
          <cell r="T69">
            <v>4.68</v>
          </cell>
          <cell r="U69">
            <v>4.7300000000000004</v>
          </cell>
          <cell r="V69">
            <v>4.46</v>
          </cell>
          <cell r="W69">
            <v>7.88</v>
          </cell>
          <cell r="X69">
            <v>7.88</v>
          </cell>
          <cell r="Y69">
            <v>60</v>
          </cell>
          <cell r="Z69">
            <v>27.8</v>
          </cell>
          <cell r="AA69">
            <v>12</v>
          </cell>
          <cell r="AB69">
            <v>10.16</v>
          </cell>
          <cell r="AC69">
            <v>2.5</v>
          </cell>
          <cell r="AD69">
            <v>3</v>
          </cell>
          <cell r="AE69">
            <v>1.07</v>
          </cell>
          <cell r="AF69">
            <v>0.3</v>
          </cell>
          <cell r="AG69">
            <v>1.74</v>
          </cell>
        </row>
        <row r="70">
          <cell r="C70">
            <v>323.83</v>
          </cell>
          <cell r="D70">
            <v>0</v>
          </cell>
          <cell r="E70">
            <v>0</v>
          </cell>
          <cell r="F70">
            <v>90.98</v>
          </cell>
          <cell r="G70">
            <v>0</v>
          </cell>
          <cell r="H70">
            <v>119.92</v>
          </cell>
          <cell r="I70">
            <v>69.08</v>
          </cell>
          <cell r="J70">
            <v>69.08</v>
          </cell>
          <cell r="K70">
            <v>3.6</v>
          </cell>
          <cell r="L70">
            <v>3.6</v>
          </cell>
          <cell r="M70">
            <v>3.6</v>
          </cell>
          <cell r="N70">
            <v>3.6</v>
          </cell>
          <cell r="O70">
            <v>32.68</v>
          </cell>
          <cell r="P70">
            <v>4.68</v>
          </cell>
          <cell r="Q70">
            <v>4.1500000000000004</v>
          </cell>
          <cell r="R70">
            <v>4.68</v>
          </cell>
          <cell r="S70">
            <v>4.68</v>
          </cell>
          <cell r="T70">
            <v>4.68</v>
          </cell>
          <cell r="U70">
            <v>4.7300000000000004</v>
          </cell>
          <cell r="V70">
            <v>4.46</v>
          </cell>
          <cell r="W70">
            <v>7.88</v>
          </cell>
          <cell r="X70">
            <v>7.88</v>
          </cell>
          <cell r="Y70">
            <v>60</v>
          </cell>
          <cell r="Z70">
            <v>27.8</v>
          </cell>
          <cell r="AA70">
            <v>12</v>
          </cell>
          <cell r="AB70">
            <v>10.16</v>
          </cell>
          <cell r="AC70">
            <v>2.5</v>
          </cell>
          <cell r="AD70">
            <v>3</v>
          </cell>
          <cell r="AE70">
            <v>1.07</v>
          </cell>
          <cell r="AF70">
            <v>0.3</v>
          </cell>
          <cell r="AG70">
            <v>0.9</v>
          </cell>
        </row>
        <row r="72">
          <cell r="C72">
            <v>5442.27</v>
          </cell>
          <cell r="D72">
            <v>590.14</v>
          </cell>
          <cell r="E72">
            <v>2240.2199999999998</v>
          </cell>
          <cell r="F72">
            <v>2183.41</v>
          </cell>
          <cell r="G72">
            <v>312.10000000000002</v>
          </cell>
          <cell r="H72">
            <v>2878.19</v>
          </cell>
          <cell r="I72">
            <v>1657.88</v>
          </cell>
          <cell r="J72">
            <v>1657.88</v>
          </cell>
          <cell r="K72">
            <v>86.39</v>
          </cell>
          <cell r="L72">
            <v>86.39</v>
          </cell>
          <cell r="M72">
            <v>86.39</v>
          </cell>
          <cell r="N72">
            <v>86.39</v>
          </cell>
          <cell r="O72">
            <v>784.37</v>
          </cell>
          <cell r="P72">
            <v>107.69</v>
          </cell>
          <cell r="Q72">
            <v>95.89</v>
          </cell>
          <cell r="R72">
            <v>112.37</v>
          </cell>
          <cell r="S72">
            <v>112.37</v>
          </cell>
          <cell r="T72">
            <v>88.96</v>
          </cell>
          <cell r="U72">
            <v>113.06</v>
          </cell>
          <cell r="V72">
            <v>107.1</v>
          </cell>
          <cell r="W72">
            <v>190.39</v>
          </cell>
          <cell r="X72">
            <v>189</v>
          </cell>
          <cell r="Y72">
            <v>1786.67</v>
          </cell>
          <cell r="Z72">
            <v>956.67</v>
          </cell>
          <cell r="AA72">
            <v>440</v>
          </cell>
          <cell r="AB72">
            <v>243.89</v>
          </cell>
          <cell r="AC72">
            <v>66.67</v>
          </cell>
          <cell r="AD72">
            <v>100</v>
          </cell>
          <cell r="AE72">
            <v>26.67</v>
          </cell>
          <cell r="AF72">
            <v>10</v>
          </cell>
          <cell r="AG72">
            <v>33.33</v>
          </cell>
        </row>
        <row r="74">
          <cell r="C74">
            <v>2E-3</v>
          </cell>
          <cell r="D74">
            <v>2E-3</v>
          </cell>
          <cell r="E74">
            <v>2E-3</v>
          </cell>
          <cell r="F74">
            <v>2.5700000000000001E-2</v>
          </cell>
          <cell r="G74">
            <v>3.32E-2</v>
          </cell>
          <cell r="H74">
            <v>2.75E-2</v>
          </cell>
          <cell r="I74">
            <v>2.7799999999999998E-2</v>
          </cell>
          <cell r="J74">
            <v>2.81E-2</v>
          </cell>
          <cell r="K74">
            <v>3.2000000000000001E-2</v>
          </cell>
          <cell r="L74">
            <v>3.2199999999999999E-2</v>
          </cell>
          <cell r="M74">
            <v>3.2199999999999999E-2</v>
          </cell>
          <cell r="N74">
            <v>3.2199999999999999E-2</v>
          </cell>
          <cell r="O74">
            <v>3.4299999999999997E-2</v>
          </cell>
          <cell r="P74">
            <v>3.7100000000000001E-2</v>
          </cell>
          <cell r="Q74">
            <v>3.7100000000000001E-2</v>
          </cell>
          <cell r="R74">
            <v>3.7100000000000001E-2</v>
          </cell>
          <cell r="S74">
            <v>3.7100000000000001E-2</v>
          </cell>
          <cell r="T74">
            <v>3.7100000000000001E-2</v>
          </cell>
          <cell r="U74">
            <v>3.9399999999999998E-2</v>
          </cell>
          <cell r="V74">
            <v>4.02E-2</v>
          </cell>
          <cell r="W74">
            <v>4.0599999999999997E-2</v>
          </cell>
          <cell r="X74">
            <v>4.1500000000000002E-2</v>
          </cell>
          <cell r="Y74">
            <v>2E-3</v>
          </cell>
          <cell r="Z74">
            <v>2E-3</v>
          </cell>
          <cell r="AA74">
            <v>2E-3</v>
          </cell>
          <cell r="AB74">
            <v>2E-3</v>
          </cell>
          <cell r="AC74">
            <v>2E-3</v>
          </cell>
          <cell r="AD74">
            <v>2E-3</v>
          </cell>
          <cell r="AE74">
            <v>2E-3</v>
          </cell>
          <cell r="AF74">
            <v>2E-3</v>
          </cell>
          <cell r="AG74">
            <v>2E-3</v>
          </cell>
        </row>
        <row r="85">
          <cell r="C85" t="str">
            <v xml:space="preserve">H-PAUTE </v>
          </cell>
          <cell r="D85" t="str">
            <v>H-PUCARA</v>
          </cell>
          <cell r="E85" t="str">
            <v>H-NACION</v>
          </cell>
          <cell r="F85" t="str">
            <v>E-TRINIT</v>
          </cell>
          <cell r="G85" t="str">
            <v>IN-COLOM</v>
          </cell>
          <cell r="H85" t="str">
            <v xml:space="preserve">T-ESMER </v>
          </cell>
          <cell r="I85" t="str">
            <v>E.GZ.TV3</v>
          </cell>
          <cell r="J85" t="str">
            <v>E.GZ.TV2</v>
          </cell>
          <cell r="K85" t="str">
            <v>CSURDES1</v>
          </cell>
          <cell r="L85" t="str">
            <v>CSURDES2</v>
          </cell>
          <cell r="M85" t="str">
            <v>CSURDES3</v>
          </cell>
          <cell r="N85" t="str">
            <v>CSURDES4</v>
          </cell>
          <cell r="O85" t="str">
            <v xml:space="preserve">EQL3-U3 </v>
          </cell>
          <cell r="P85" t="str">
            <v>ELEC-AT1</v>
          </cell>
          <cell r="Q85" t="str">
            <v xml:space="preserve">EQL3-U4 </v>
          </cell>
          <cell r="R85" t="str">
            <v>E.VASANT</v>
          </cell>
          <cell r="S85" t="str">
            <v xml:space="preserve">EQL2-U2 </v>
          </cell>
          <cell r="T85" t="str">
            <v xml:space="preserve">SUR-CA6 </v>
          </cell>
          <cell r="U85" t="str">
            <v xml:space="preserve">EQL2-U1 </v>
          </cell>
          <cell r="V85" t="str">
            <v>TPGUANG1</v>
          </cell>
          <cell r="W85" t="str">
            <v>TPGUANG2</v>
          </cell>
          <cell r="X85" t="str">
            <v>TPGUANG3</v>
          </cell>
          <cell r="Y85" t="str">
            <v>TPGUANG4</v>
          </cell>
          <cell r="Z85" t="str">
            <v>TPGUANG5</v>
          </cell>
          <cell r="AA85" t="str">
            <v>TPGUANG6</v>
          </cell>
          <cell r="AB85" t="str">
            <v>G.HERNA1</v>
          </cell>
          <cell r="AC85" t="str">
            <v>G.HERNA2</v>
          </cell>
          <cell r="AD85" t="str">
            <v>G.HERNA3</v>
          </cell>
          <cell r="AE85" t="str">
            <v>G.HERNA4</v>
          </cell>
          <cell r="AF85" t="str">
            <v>G.HERNA5</v>
          </cell>
          <cell r="AG85" t="str">
            <v>G.HERNA6</v>
          </cell>
          <cell r="AH85" t="str">
            <v>AGOYAN_H</v>
          </cell>
          <cell r="AI85" t="str">
            <v>EEQ_HIDR</v>
          </cell>
          <cell r="AJ85" t="str">
            <v xml:space="preserve">C-SUR_H </v>
          </cell>
          <cell r="AK85" t="str">
            <v>RIOBAM_H</v>
          </cell>
          <cell r="AL85" t="str">
            <v>COTOPX_H</v>
          </cell>
          <cell r="AM85" t="str">
            <v>RNORTE_H</v>
          </cell>
          <cell r="AN85" t="str">
            <v>AMBATO_H</v>
          </cell>
          <cell r="AO85" t="str">
            <v>BOLIVR_H</v>
          </cell>
          <cell r="AP85" t="str">
            <v xml:space="preserve">R-SUR_H </v>
          </cell>
        </row>
        <row r="87">
          <cell r="C87">
            <v>216.86</v>
          </cell>
          <cell r="D87">
            <v>0</v>
          </cell>
          <cell r="E87">
            <v>0</v>
          </cell>
          <cell r="F87">
            <v>124.21</v>
          </cell>
          <cell r="G87">
            <v>0</v>
          </cell>
          <cell r="H87">
            <v>119.92</v>
          </cell>
          <cell r="I87">
            <v>69.08</v>
          </cell>
          <cell r="J87">
            <v>69.08</v>
          </cell>
          <cell r="K87">
            <v>3.6</v>
          </cell>
          <cell r="L87">
            <v>3.6</v>
          </cell>
          <cell r="M87">
            <v>3.6</v>
          </cell>
          <cell r="N87">
            <v>3.6</v>
          </cell>
          <cell r="O87">
            <v>41.45</v>
          </cell>
          <cell r="P87">
            <v>33.700000000000003</v>
          </cell>
          <cell r="Q87">
            <v>41.45</v>
          </cell>
          <cell r="R87">
            <v>32.68</v>
          </cell>
          <cell r="S87">
            <v>36.840000000000003</v>
          </cell>
          <cell r="T87">
            <v>0</v>
          </cell>
          <cell r="U87">
            <v>0</v>
          </cell>
          <cell r="V87">
            <v>4.68</v>
          </cell>
          <cell r="W87">
            <v>4.68</v>
          </cell>
          <cell r="X87">
            <v>4.16</v>
          </cell>
          <cell r="Y87">
            <v>4.16</v>
          </cell>
          <cell r="Z87">
            <v>4.68</v>
          </cell>
          <cell r="AA87">
            <v>3.3</v>
          </cell>
          <cell r="AB87">
            <v>5.04</v>
          </cell>
          <cell r="AC87">
            <v>5.04</v>
          </cell>
          <cell r="AD87">
            <v>5.04</v>
          </cell>
          <cell r="AE87">
            <v>5.04</v>
          </cell>
          <cell r="AF87">
            <v>5.04</v>
          </cell>
          <cell r="AG87">
            <v>5.04</v>
          </cell>
          <cell r="AH87">
            <v>60</v>
          </cell>
          <cell r="AI87">
            <v>30.5</v>
          </cell>
          <cell r="AJ87">
            <v>12</v>
          </cell>
          <cell r="AK87">
            <v>4</v>
          </cell>
          <cell r="AL87">
            <v>2.5</v>
          </cell>
          <cell r="AM87">
            <v>3</v>
          </cell>
          <cell r="AN87">
            <v>0.9</v>
          </cell>
          <cell r="AO87">
            <v>0.3</v>
          </cell>
          <cell r="AP87">
            <v>0.9</v>
          </cell>
        </row>
        <row r="88">
          <cell r="C88">
            <v>176.47</v>
          </cell>
          <cell r="D88">
            <v>10.49</v>
          </cell>
          <cell r="E88">
            <v>0</v>
          </cell>
          <cell r="F88">
            <v>124.21</v>
          </cell>
          <cell r="G88">
            <v>0</v>
          </cell>
          <cell r="H88">
            <v>119.92</v>
          </cell>
          <cell r="I88">
            <v>69.08</v>
          </cell>
          <cell r="J88">
            <v>69.08</v>
          </cell>
          <cell r="K88">
            <v>3.6</v>
          </cell>
          <cell r="L88">
            <v>3.6</v>
          </cell>
          <cell r="M88">
            <v>3.6</v>
          </cell>
          <cell r="N88">
            <v>3.6</v>
          </cell>
          <cell r="O88">
            <v>41.45</v>
          </cell>
          <cell r="P88">
            <v>33.700000000000003</v>
          </cell>
          <cell r="Q88">
            <v>41.45</v>
          </cell>
          <cell r="R88">
            <v>32.68</v>
          </cell>
          <cell r="S88">
            <v>36.840000000000003</v>
          </cell>
          <cell r="T88">
            <v>0</v>
          </cell>
          <cell r="U88">
            <v>0</v>
          </cell>
          <cell r="V88">
            <v>4.68</v>
          </cell>
          <cell r="W88">
            <v>4.68</v>
          </cell>
          <cell r="X88">
            <v>4.16</v>
          </cell>
          <cell r="Y88">
            <v>4.16</v>
          </cell>
          <cell r="Z88">
            <v>4.68</v>
          </cell>
          <cell r="AA88">
            <v>3.3</v>
          </cell>
          <cell r="AB88">
            <v>5.04</v>
          </cell>
          <cell r="AC88">
            <v>5.04</v>
          </cell>
          <cell r="AD88">
            <v>5.04</v>
          </cell>
          <cell r="AE88">
            <v>5.04</v>
          </cell>
          <cell r="AF88">
            <v>5.04</v>
          </cell>
          <cell r="AG88">
            <v>5.04</v>
          </cell>
          <cell r="AH88">
            <v>60</v>
          </cell>
          <cell r="AI88">
            <v>30.5</v>
          </cell>
          <cell r="AJ88">
            <v>12</v>
          </cell>
          <cell r="AK88">
            <v>4</v>
          </cell>
          <cell r="AL88">
            <v>2.5</v>
          </cell>
          <cell r="AM88">
            <v>3</v>
          </cell>
          <cell r="AN88">
            <v>0.9</v>
          </cell>
          <cell r="AO88">
            <v>0.3</v>
          </cell>
          <cell r="AP88">
            <v>0.9</v>
          </cell>
        </row>
        <row r="89">
          <cell r="C89">
            <v>98.97</v>
          </cell>
          <cell r="D89">
            <v>70.31</v>
          </cell>
          <cell r="E89">
            <v>0</v>
          </cell>
          <cell r="F89">
            <v>124.21</v>
          </cell>
          <cell r="G89">
            <v>0</v>
          </cell>
          <cell r="H89">
            <v>119.92</v>
          </cell>
          <cell r="I89">
            <v>69.08</v>
          </cell>
          <cell r="J89">
            <v>69.08</v>
          </cell>
          <cell r="K89">
            <v>3.6</v>
          </cell>
          <cell r="L89">
            <v>3.6</v>
          </cell>
          <cell r="M89">
            <v>3.6</v>
          </cell>
          <cell r="N89">
            <v>3.6</v>
          </cell>
          <cell r="O89">
            <v>41.45</v>
          </cell>
          <cell r="P89">
            <v>33.700000000000003</v>
          </cell>
          <cell r="Q89">
            <v>41.45</v>
          </cell>
          <cell r="R89">
            <v>32.68</v>
          </cell>
          <cell r="S89">
            <v>25.04</v>
          </cell>
          <cell r="T89">
            <v>0</v>
          </cell>
          <cell r="U89">
            <v>0</v>
          </cell>
          <cell r="V89">
            <v>4.68</v>
          </cell>
          <cell r="W89">
            <v>4.68</v>
          </cell>
          <cell r="X89">
            <v>4.16</v>
          </cell>
          <cell r="Y89">
            <v>4.16</v>
          </cell>
          <cell r="Z89">
            <v>4.68</v>
          </cell>
          <cell r="AA89">
            <v>3.3</v>
          </cell>
          <cell r="AB89">
            <v>5.04</v>
          </cell>
          <cell r="AC89">
            <v>5.04</v>
          </cell>
          <cell r="AD89">
            <v>5.04</v>
          </cell>
          <cell r="AE89">
            <v>5.04</v>
          </cell>
          <cell r="AF89">
            <v>5.04</v>
          </cell>
          <cell r="AG89">
            <v>5.04</v>
          </cell>
          <cell r="AH89">
            <v>60</v>
          </cell>
          <cell r="AI89">
            <v>30.5</v>
          </cell>
          <cell r="AJ89">
            <v>12</v>
          </cell>
          <cell r="AK89">
            <v>4</v>
          </cell>
          <cell r="AL89">
            <v>2.5</v>
          </cell>
          <cell r="AM89">
            <v>3</v>
          </cell>
          <cell r="AN89">
            <v>0.9</v>
          </cell>
          <cell r="AO89">
            <v>0.3</v>
          </cell>
          <cell r="AP89">
            <v>0.9</v>
          </cell>
        </row>
        <row r="90">
          <cell r="C90">
            <v>117.09</v>
          </cell>
          <cell r="D90">
            <v>70.31</v>
          </cell>
          <cell r="E90">
            <v>0</v>
          </cell>
          <cell r="F90">
            <v>124.21</v>
          </cell>
          <cell r="G90">
            <v>0</v>
          </cell>
          <cell r="H90">
            <v>119.92</v>
          </cell>
          <cell r="I90">
            <v>69.08</v>
          </cell>
          <cell r="J90">
            <v>69.08</v>
          </cell>
          <cell r="K90">
            <v>3.6</v>
          </cell>
          <cell r="L90">
            <v>3.6</v>
          </cell>
          <cell r="M90">
            <v>3.6</v>
          </cell>
          <cell r="N90">
            <v>3.6</v>
          </cell>
          <cell r="O90">
            <v>41.45</v>
          </cell>
          <cell r="P90">
            <v>33.700000000000003</v>
          </cell>
          <cell r="Q90">
            <v>41.45</v>
          </cell>
          <cell r="R90">
            <v>32.68</v>
          </cell>
          <cell r="S90">
            <v>36.840000000000003</v>
          </cell>
          <cell r="T90">
            <v>0</v>
          </cell>
          <cell r="U90">
            <v>0</v>
          </cell>
          <cell r="V90">
            <v>4.68</v>
          </cell>
          <cell r="W90">
            <v>4.68</v>
          </cell>
          <cell r="X90">
            <v>4.16</v>
          </cell>
          <cell r="Y90">
            <v>4.16</v>
          </cell>
          <cell r="Z90">
            <v>4.68</v>
          </cell>
          <cell r="AA90">
            <v>3.3</v>
          </cell>
          <cell r="AB90">
            <v>5.04</v>
          </cell>
          <cell r="AC90">
            <v>5.04</v>
          </cell>
          <cell r="AD90">
            <v>5.04</v>
          </cell>
          <cell r="AE90">
            <v>5.04</v>
          </cell>
          <cell r="AF90">
            <v>5.04</v>
          </cell>
          <cell r="AG90">
            <v>5.04</v>
          </cell>
          <cell r="AH90">
            <v>60</v>
          </cell>
          <cell r="AI90">
            <v>30.5</v>
          </cell>
          <cell r="AJ90">
            <v>12</v>
          </cell>
          <cell r="AK90">
            <v>4</v>
          </cell>
          <cell r="AL90">
            <v>2.5</v>
          </cell>
          <cell r="AM90">
            <v>3</v>
          </cell>
          <cell r="AN90">
            <v>0.9</v>
          </cell>
          <cell r="AO90">
            <v>0.3</v>
          </cell>
          <cell r="AP90">
            <v>0.9</v>
          </cell>
        </row>
        <row r="91">
          <cell r="C91">
            <v>146.83000000000001</v>
          </cell>
          <cell r="D91">
            <v>70.31</v>
          </cell>
          <cell r="E91">
            <v>0</v>
          </cell>
          <cell r="F91">
            <v>124.21</v>
          </cell>
          <cell r="G91">
            <v>0</v>
          </cell>
          <cell r="H91">
            <v>119.92</v>
          </cell>
          <cell r="I91">
            <v>69.08</v>
          </cell>
          <cell r="J91">
            <v>69.08</v>
          </cell>
          <cell r="K91">
            <v>3.6</v>
          </cell>
          <cell r="L91">
            <v>3.6</v>
          </cell>
          <cell r="M91">
            <v>3.6</v>
          </cell>
          <cell r="N91">
            <v>3.6</v>
          </cell>
          <cell r="O91">
            <v>41.45</v>
          </cell>
          <cell r="P91">
            <v>33.700000000000003</v>
          </cell>
          <cell r="Q91">
            <v>41.45</v>
          </cell>
          <cell r="R91">
            <v>32.68</v>
          </cell>
          <cell r="S91">
            <v>36.840000000000003</v>
          </cell>
          <cell r="T91">
            <v>0</v>
          </cell>
          <cell r="U91">
            <v>0</v>
          </cell>
          <cell r="V91">
            <v>4.68</v>
          </cell>
          <cell r="W91">
            <v>4.68</v>
          </cell>
          <cell r="X91">
            <v>4.16</v>
          </cell>
          <cell r="Y91">
            <v>4.16</v>
          </cell>
          <cell r="Z91">
            <v>4.68</v>
          </cell>
          <cell r="AA91">
            <v>3.3</v>
          </cell>
          <cell r="AB91">
            <v>5.04</v>
          </cell>
          <cell r="AC91">
            <v>5.04</v>
          </cell>
          <cell r="AD91">
            <v>5.04</v>
          </cell>
          <cell r="AE91">
            <v>5.04</v>
          </cell>
          <cell r="AF91">
            <v>5.04</v>
          </cell>
          <cell r="AG91">
            <v>5.04</v>
          </cell>
          <cell r="AH91">
            <v>60</v>
          </cell>
          <cell r="AI91">
            <v>30.5</v>
          </cell>
          <cell r="AJ91">
            <v>12</v>
          </cell>
          <cell r="AK91">
            <v>4</v>
          </cell>
          <cell r="AL91">
            <v>2.5</v>
          </cell>
          <cell r="AM91">
            <v>3</v>
          </cell>
          <cell r="AN91">
            <v>0.9</v>
          </cell>
          <cell r="AO91">
            <v>0.3</v>
          </cell>
          <cell r="AP91">
            <v>0.9</v>
          </cell>
        </row>
        <row r="92">
          <cell r="C92">
            <v>274.67</v>
          </cell>
          <cell r="D92">
            <v>70.31</v>
          </cell>
          <cell r="E92">
            <v>0</v>
          </cell>
          <cell r="F92">
            <v>124.21</v>
          </cell>
          <cell r="G92">
            <v>0</v>
          </cell>
          <cell r="H92">
            <v>119.92</v>
          </cell>
          <cell r="I92">
            <v>69.08</v>
          </cell>
          <cell r="J92">
            <v>69.08</v>
          </cell>
          <cell r="K92">
            <v>3.6</v>
          </cell>
          <cell r="L92">
            <v>3.6</v>
          </cell>
          <cell r="M92">
            <v>3.6</v>
          </cell>
          <cell r="N92">
            <v>3.6</v>
          </cell>
          <cell r="O92">
            <v>41.45</v>
          </cell>
          <cell r="P92">
            <v>33.700000000000003</v>
          </cell>
          <cell r="Q92">
            <v>41.45</v>
          </cell>
          <cell r="R92">
            <v>32.68</v>
          </cell>
          <cell r="S92">
            <v>36.840000000000003</v>
          </cell>
          <cell r="T92">
            <v>0</v>
          </cell>
          <cell r="U92">
            <v>0</v>
          </cell>
          <cell r="V92">
            <v>4.68</v>
          </cell>
          <cell r="W92">
            <v>4.68</v>
          </cell>
          <cell r="X92">
            <v>4.16</v>
          </cell>
          <cell r="Y92">
            <v>4.16</v>
          </cell>
          <cell r="Z92">
            <v>4.68</v>
          </cell>
          <cell r="AA92">
            <v>3.3</v>
          </cell>
          <cell r="AB92">
            <v>5.04</v>
          </cell>
          <cell r="AC92">
            <v>5.04</v>
          </cell>
          <cell r="AD92">
            <v>5.04</v>
          </cell>
          <cell r="AE92">
            <v>5.04</v>
          </cell>
          <cell r="AF92">
            <v>5.04</v>
          </cell>
          <cell r="AG92">
            <v>5.04</v>
          </cell>
          <cell r="AH92">
            <v>60</v>
          </cell>
          <cell r="AI92">
            <v>30.5</v>
          </cell>
          <cell r="AJ92">
            <v>12</v>
          </cell>
          <cell r="AK92">
            <v>4</v>
          </cell>
          <cell r="AL92">
            <v>2.5</v>
          </cell>
          <cell r="AM92">
            <v>3</v>
          </cell>
          <cell r="AN92">
            <v>0.9</v>
          </cell>
          <cell r="AO92">
            <v>0.3</v>
          </cell>
          <cell r="AP92">
            <v>0.9</v>
          </cell>
        </row>
        <row r="93">
          <cell r="C93">
            <v>290.31</v>
          </cell>
          <cell r="D93">
            <v>70.31</v>
          </cell>
          <cell r="E93">
            <v>0</v>
          </cell>
          <cell r="F93">
            <v>124.21</v>
          </cell>
          <cell r="G93">
            <v>0</v>
          </cell>
          <cell r="H93">
            <v>119.92</v>
          </cell>
          <cell r="I93">
            <v>69.08</v>
          </cell>
          <cell r="J93">
            <v>69.08</v>
          </cell>
          <cell r="K93">
            <v>3.6</v>
          </cell>
          <cell r="L93">
            <v>3.6</v>
          </cell>
          <cell r="M93">
            <v>3.6</v>
          </cell>
          <cell r="N93">
            <v>3.6</v>
          </cell>
          <cell r="O93">
            <v>41.45</v>
          </cell>
          <cell r="P93">
            <v>33.700000000000003</v>
          </cell>
          <cell r="Q93">
            <v>41.45</v>
          </cell>
          <cell r="R93">
            <v>32.68</v>
          </cell>
          <cell r="S93">
            <v>36.840000000000003</v>
          </cell>
          <cell r="T93">
            <v>0</v>
          </cell>
          <cell r="U93">
            <v>0</v>
          </cell>
          <cell r="V93">
            <v>4.68</v>
          </cell>
          <cell r="W93">
            <v>4.68</v>
          </cell>
          <cell r="X93">
            <v>4.16</v>
          </cell>
          <cell r="Y93">
            <v>4.16</v>
          </cell>
          <cell r="Z93">
            <v>4.68</v>
          </cell>
          <cell r="AA93">
            <v>3.3</v>
          </cell>
          <cell r="AB93">
            <v>5.04</v>
          </cell>
          <cell r="AC93">
            <v>5.04</v>
          </cell>
          <cell r="AD93">
            <v>5.04</v>
          </cell>
          <cell r="AE93">
            <v>5.04</v>
          </cell>
          <cell r="AF93">
            <v>5.04</v>
          </cell>
          <cell r="AG93">
            <v>5.04</v>
          </cell>
          <cell r="AH93">
            <v>60</v>
          </cell>
          <cell r="AI93">
            <v>30.5</v>
          </cell>
          <cell r="AJ93">
            <v>12</v>
          </cell>
          <cell r="AK93">
            <v>4</v>
          </cell>
          <cell r="AL93">
            <v>2.5</v>
          </cell>
          <cell r="AM93">
            <v>3</v>
          </cell>
          <cell r="AN93">
            <v>0.9</v>
          </cell>
          <cell r="AO93">
            <v>0.3</v>
          </cell>
          <cell r="AP93">
            <v>0.9</v>
          </cell>
        </row>
        <row r="94">
          <cell r="C94">
            <v>339.25</v>
          </cell>
          <cell r="D94">
            <v>70.31</v>
          </cell>
          <cell r="E94">
            <v>0</v>
          </cell>
          <cell r="F94">
            <v>124.21</v>
          </cell>
          <cell r="G94">
            <v>0</v>
          </cell>
          <cell r="H94">
            <v>119.92</v>
          </cell>
          <cell r="I94">
            <v>69.08</v>
          </cell>
          <cell r="J94">
            <v>69.08</v>
          </cell>
          <cell r="K94">
            <v>3.6</v>
          </cell>
          <cell r="L94">
            <v>3.6</v>
          </cell>
          <cell r="M94">
            <v>3.6</v>
          </cell>
          <cell r="N94">
            <v>3.6</v>
          </cell>
          <cell r="O94">
            <v>41.45</v>
          </cell>
          <cell r="P94">
            <v>33.700000000000003</v>
          </cell>
          <cell r="Q94">
            <v>41.45</v>
          </cell>
          <cell r="R94">
            <v>32.68</v>
          </cell>
          <cell r="S94">
            <v>36.840000000000003</v>
          </cell>
          <cell r="T94">
            <v>0</v>
          </cell>
          <cell r="U94">
            <v>0</v>
          </cell>
          <cell r="V94">
            <v>4.68</v>
          </cell>
          <cell r="W94">
            <v>4.68</v>
          </cell>
          <cell r="X94">
            <v>4.16</v>
          </cell>
          <cell r="Y94">
            <v>4.16</v>
          </cell>
          <cell r="Z94">
            <v>4.68</v>
          </cell>
          <cell r="AA94">
            <v>3.3</v>
          </cell>
          <cell r="AB94">
            <v>5.04</v>
          </cell>
          <cell r="AC94">
            <v>5.04</v>
          </cell>
          <cell r="AD94">
            <v>5.04</v>
          </cell>
          <cell r="AE94">
            <v>5.04</v>
          </cell>
          <cell r="AF94">
            <v>5.04</v>
          </cell>
          <cell r="AG94">
            <v>5.04</v>
          </cell>
          <cell r="AH94">
            <v>60</v>
          </cell>
          <cell r="AI94">
            <v>30.5</v>
          </cell>
          <cell r="AJ94">
            <v>12</v>
          </cell>
          <cell r="AK94">
            <v>4.5999999999999996</v>
          </cell>
          <cell r="AL94">
            <v>2.5</v>
          </cell>
          <cell r="AM94">
            <v>3</v>
          </cell>
          <cell r="AN94">
            <v>0.9</v>
          </cell>
          <cell r="AO94">
            <v>0.3</v>
          </cell>
          <cell r="AP94">
            <v>0.9</v>
          </cell>
        </row>
        <row r="95">
          <cell r="C95">
            <v>296.67</v>
          </cell>
          <cell r="D95">
            <v>70.31</v>
          </cell>
          <cell r="E95">
            <v>120</v>
          </cell>
          <cell r="F95">
            <v>124.21</v>
          </cell>
          <cell r="G95">
            <v>0</v>
          </cell>
          <cell r="H95">
            <v>119.92</v>
          </cell>
          <cell r="I95">
            <v>69.08</v>
          </cell>
          <cell r="J95">
            <v>69.08</v>
          </cell>
          <cell r="K95">
            <v>3.6</v>
          </cell>
          <cell r="L95">
            <v>3.6</v>
          </cell>
          <cell r="M95">
            <v>3.6</v>
          </cell>
          <cell r="N95">
            <v>3.6</v>
          </cell>
          <cell r="O95">
            <v>41.45</v>
          </cell>
          <cell r="P95">
            <v>33.700000000000003</v>
          </cell>
          <cell r="Q95">
            <v>41.45</v>
          </cell>
          <cell r="R95">
            <v>32.68</v>
          </cell>
          <cell r="S95">
            <v>36.840000000000003</v>
          </cell>
          <cell r="T95">
            <v>0</v>
          </cell>
          <cell r="U95">
            <v>0</v>
          </cell>
          <cell r="V95">
            <v>4.68</v>
          </cell>
          <cell r="W95">
            <v>4.68</v>
          </cell>
          <cell r="X95">
            <v>4.16</v>
          </cell>
          <cell r="Y95">
            <v>4.16</v>
          </cell>
          <cell r="Z95">
            <v>4.68</v>
          </cell>
          <cell r="AA95">
            <v>3.3</v>
          </cell>
          <cell r="AB95">
            <v>5.04</v>
          </cell>
          <cell r="AC95">
            <v>5.04</v>
          </cell>
          <cell r="AD95">
            <v>5.04</v>
          </cell>
          <cell r="AE95">
            <v>5.04</v>
          </cell>
          <cell r="AF95">
            <v>5.04</v>
          </cell>
          <cell r="AG95">
            <v>5.04</v>
          </cell>
          <cell r="AH95">
            <v>60</v>
          </cell>
          <cell r="AI95">
            <v>30.5</v>
          </cell>
          <cell r="AJ95">
            <v>12</v>
          </cell>
          <cell r="AK95">
            <v>6.16</v>
          </cell>
          <cell r="AL95">
            <v>2.5</v>
          </cell>
          <cell r="AM95">
            <v>3</v>
          </cell>
          <cell r="AN95">
            <v>0.9</v>
          </cell>
          <cell r="AO95">
            <v>0.3</v>
          </cell>
          <cell r="AP95">
            <v>0.9</v>
          </cell>
        </row>
        <row r="96">
          <cell r="C96">
            <v>242.87</v>
          </cell>
          <cell r="D96">
            <v>70.31</v>
          </cell>
          <cell r="E96">
            <v>189.31</v>
          </cell>
          <cell r="F96">
            <v>124.21</v>
          </cell>
          <cell r="G96">
            <v>24.01</v>
          </cell>
          <cell r="H96">
            <v>119.92</v>
          </cell>
          <cell r="I96">
            <v>69.08</v>
          </cell>
          <cell r="J96">
            <v>69.08</v>
          </cell>
          <cell r="K96">
            <v>3.6</v>
          </cell>
          <cell r="L96">
            <v>3.6</v>
          </cell>
          <cell r="M96">
            <v>3.6</v>
          </cell>
          <cell r="N96">
            <v>3.6</v>
          </cell>
          <cell r="O96">
            <v>41.45</v>
          </cell>
          <cell r="P96">
            <v>33.700000000000003</v>
          </cell>
          <cell r="Q96">
            <v>41.45</v>
          </cell>
          <cell r="R96">
            <v>32.68</v>
          </cell>
          <cell r="S96">
            <v>36.840000000000003</v>
          </cell>
          <cell r="T96">
            <v>0</v>
          </cell>
          <cell r="U96">
            <v>0</v>
          </cell>
          <cell r="V96">
            <v>4.68</v>
          </cell>
          <cell r="W96">
            <v>4.68</v>
          </cell>
          <cell r="X96">
            <v>4.16</v>
          </cell>
          <cell r="Y96">
            <v>4.16</v>
          </cell>
          <cell r="Z96">
            <v>4.68</v>
          </cell>
          <cell r="AA96">
            <v>3.3</v>
          </cell>
          <cell r="AB96">
            <v>5.04</v>
          </cell>
          <cell r="AC96">
            <v>5.04</v>
          </cell>
          <cell r="AD96">
            <v>5.04</v>
          </cell>
          <cell r="AE96">
            <v>5.04</v>
          </cell>
          <cell r="AF96">
            <v>5.04</v>
          </cell>
          <cell r="AG96">
            <v>5.04</v>
          </cell>
          <cell r="AH96">
            <v>60</v>
          </cell>
          <cell r="AI96">
            <v>30.5</v>
          </cell>
          <cell r="AJ96">
            <v>12</v>
          </cell>
          <cell r="AK96">
            <v>6.16</v>
          </cell>
          <cell r="AL96">
            <v>2.5</v>
          </cell>
          <cell r="AM96">
            <v>3</v>
          </cell>
          <cell r="AN96">
            <v>0.9</v>
          </cell>
          <cell r="AO96">
            <v>0.3</v>
          </cell>
          <cell r="AP96">
            <v>1.53</v>
          </cell>
        </row>
        <row r="97">
          <cell r="C97">
            <v>260.39999999999998</v>
          </cell>
          <cell r="D97">
            <v>70.31</v>
          </cell>
          <cell r="E97">
            <v>205.58</v>
          </cell>
          <cell r="F97">
            <v>124.21</v>
          </cell>
          <cell r="G97">
            <v>24.01</v>
          </cell>
          <cell r="H97">
            <v>119.92</v>
          </cell>
          <cell r="I97">
            <v>69.08</v>
          </cell>
          <cell r="J97">
            <v>69.08</v>
          </cell>
          <cell r="K97">
            <v>3.6</v>
          </cell>
          <cell r="L97">
            <v>3.6</v>
          </cell>
          <cell r="M97">
            <v>3.6</v>
          </cell>
          <cell r="N97">
            <v>3.6</v>
          </cell>
          <cell r="O97">
            <v>41.45</v>
          </cell>
          <cell r="P97">
            <v>33.700000000000003</v>
          </cell>
          <cell r="Q97">
            <v>41.45</v>
          </cell>
          <cell r="R97">
            <v>32.68</v>
          </cell>
          <cell r="S97">
            <v>36.840000000000003</v>
          </cell>
          <cell r="T97">
            <v>0</v>
          </cell>
          <cell r="U97">
            <v>0</v>
          </cell>
          <cell r="V97">
            <v>4.68</v>
          </cell>
          <cell r="W97">
            <v>4.68</v>
          </cell>
          <cell r="X97">
            <v>4.16</v>
          </cell>
          <cell r="Y97">
            <v>4.16</v>
          </cell>
          <cell r="Z97">
            <v>4.68</v>
          </cell>
          <cell r="AA97">
            <v>3.3</v>
          </cell>
          <cell r="AB97">
            <v>5.04</v>
          </cell>
          <cell r="AC97">
            <v>5.04</v>
          </cell>
          <cell r="AD97">
            <v>5.04</v>
          </cell>
          <cell r="AE97">
            <v>5.04</v>
          </cell>
          <cell r="AF97">
            <v>5.04</v>
          </cell>
          <cell r="AG97">
            <v>5.04</v>
          </cell>
          <cell r="AH97">
            <v>60</v>
          </cell>
          <cell r="AI97">
            <v>30.5</v>
          </cell>
          <cell r="AJ97">
            <v>12</v>
          </cell>
          <cell r="AK97">
            <v>6.16</v>
          </cell>
          <cell r="AL97">
            <v>2.5</v>
          </cell>
          <cell r="AM97">
            <v>3</v>
          </cell>
          <cell r="AN97">
            <v>0.9</v>
          </cell>
          <cell r="AO97">
            <v>0.3</v>
          </cell>
          <cell r="AP97">
            <v>1.74</v>
          </cell>
        </row>
        <row r="98">
          <cell r="C98">
            <v>254.03</v>
          </cell>
          <cell r="D98">
            <v>70.31</v>
          </cell>
          <cell r="E98">
            <v>205.58</v>
          </cell>
          <cell r="F98">
            <v>124.21</v>
          </cell>
          <cell r="G98">
            <v>24.01</v>
          </cell>
          <cell r="H98">
            <v>119.92</v>
          </cell>
          <cell r="I98">
            <v>69.08</v>
          </cell>
          <cell r="J98">
            <v>69.08</v>
          </cell>
          <cell r="K98">
            <v>3.6</v>
          </cell>
          <cell r="L98">
            <v>3.6</v>
          </cell>
          <cell r="M98">
            <v>3.6</v>
          </cell>
          <cell r="N98">
            <v>3.6</v>
          </cell>
          <cell r="O98">
            <v>41.45</v>
          </cell>
          <cell r="P98">
            <v>33.700000000000003</v>
          </cell>
          <cell r="Q98">
            <v>41.45</v>
          </cell>
          <cell r="R98">
            <v>32.68</v>
          </cell>
          <cell r="S98">
            <v>36.840000000000003</v>
          </cell>
          <cell r="T98">
            <v>1.8</v>
          </cell>
          <cell r="U98">
            <v>0</v>
          </cell>
          <cell r="V98">
            <v>4.68</v>
          </cell>
          <cell r="W98">
            <v>4.68</v>
          </cell>
          <cell r="X98">
            <v>4.16</v>
          </cell>
          <cell r="Y98">
            <v>4.16</v>
          </cell>
          <cell r="Z98">
            <v>4.68</v>
          </cell>
          <cell r="AA98">
            <v>3.3</v>
          </cell>
          <cell r="AB98">
            <v>5.04</v>
          </cell>
          <cell r="AC98">
            <v>5.04</v>
          </cell>
          <cell r="AD98">
            <v>5.04</v>
          </cell>
          <cell r="AE98">
            <v>5.04</v>
          </cell>
          <cell r="AF98">
            <v>5.04</v>
          </cell>
          <cell r="AG98">
            <v>5.04</v>
          </cell>
          <cell r="AH98">
            <v>60</v>
          </cell>
          <cell r="AI98">
            <v>30.5</v>
          </cell>
          <cell r="AJ98">
            <v>12</v>
          </cell>
          <cell r="AK98">
            <v>6.16</v>
          </cell>
          <cell r="AL98">
            <v>2.5</v>
          </cell>
          <cell r="AM98">
            <v>3</v>
          </cell>
          <cell r="AN98">
            <v>0.9</v>
          </cell>
          <cell r="AO98">
            <v>0.3</v>
          </cell>
          <cell r="AP98">
            <v>1.74</v>
          </cell>
        </row>
        <row r="99">
          <cell r="C99">
            <v>216.35</v>
          </cell>
          <cell r="D99">
            <v>70.31</v>
          </cell>
          <cell r="E99">
            <v>205.58</v>
          </cell>
          <cell r="F99">
            <v>124.21</v>
          </cell>
          <cell r="G99">
            <v>24.01</v>
          </cell>
          <cell r="H99">
            <v>119.92</v>
          </cell>
          <cell r="I99">
            <v>69.08</v>
          </cell>
          <cell r="J99">
            <v>69.08</v>
          </cell>
          <cell r="K99">
            <v>3.6</v>
          </cell>
          <cell r="L99">
            <v>3.6</v>
          </cell>
          <cell r="M99">
            <v>3.6</v>
          </cell>
          <cell r="N99">
            <v>3.6</v>
          </cell>
          <cell r="O99">
            <v>41.45</v>
          </cell>
          <cell r="P99">
            <v>33.700000000000003</v>
          </cell>
          <cell r="Q99">
            <v>41.45</v>
          </cell>
          <cell r="R99">
            <v>32.68</v>
          </cell>
          <cell r="S99">
            <v>36.840000000000003</v>
          </cell>
          <cell r="T99">
            <v>1.8</v>
          </cell>
          <cell r="U99">
            <v>0</v>
          </cell>
          <cell r="V99">
            <v>4.68</v>
          </cell>
          <cell r="W99">
            <v>4.68</v>
          </cell>
          <cell r="X99">
            <v>4.16</v>
          </cell>
          <cell r="Y99">
            <v>4.16</v>
          </cell>
          <cell r="Z99">
            <v>4.68</v>
          </cell>
          <cell r="AA99">
            <v>3.3</v>
          </cell>
          <cell r="AB99">
            <v>5.04</v>
          </cell>
          <cell r="AC99">
            <v>5.04</v>
          </cell>
          <cell r="AD99">
            <v>5.04</v>
          </cell>
          <cell r="AE99">
            <v>5.04</v>
          </cell>
          <cell r="AF99">
            <v>5.04</v>
          </cell>
          <cell r="AG99">
            <v>5.04</v>
          </cell>
          <cell r="AH99">
            <v>60</v>
          </cell>
          <cell r="AI99">
            <v>30.5</v>
          </cell>
          <cell r="AJ99">
            <v>12</v>
          </cell>
          <cell r="AK99">
            <v>6.16</v>
          </cell>
          <cell r="AL99">
            <v>2.5</v>
          </cell>
          <cell r="AM99">
            <v>3</v>
          </cell>
          <cell r="AN99">
            <v>0.9</v>
          </cell>
          <cell r="AO99">
            <v>0.3</v>
          </cell>
          <cell r="AP99">
            <v>1.74</v>
          </cell>
        </row>
        <row r="100">
          <cell r="C100">
            <v>200.89</v>
          </cell>
          <cell r="D100">
            <v>70.31</v>
          </cell>
          <cell r="E100">
            <v>205.58</v>
          </cell>
          <cell r="F100">
            <v>124.21</v>
          </cell>
          <cell r="G100">
            <v>24.01</v>
          </cell>
          <cell r="H100">
            <v>119.92</v>
          </cell>
          <cell r="I100">
            <v>69.08</v>
          </cell>
          <cell r="J100">
            <v>69.08</v>
          </cell>
          <cell r="K100">
            <v>3.6</v>
          </cell>
          <cell r="L100">
            <v>3.6</v>
          </cell>
          <cell r="M100">
            <v>3.6</v>
          </cell>
          <cell r="N100">
            <v>3.6</v>
          </cell>
          <cell r="O100">
            <v>41.45</v>
          </cell>
          <cell r="P100">
            <v>33.700000000000003</v>
          </cell>
          <cell r="Q100">
            <v>41.45</v>
          </cell>
          <cell r="R100">
            <v>32.68</v>
          </cell>
          <cell r="S100">
            <v>36.840000000000003</v>
          </cell>
          <cell r="T100">
            <v>1.8</v>
          </cell>
          <cell r="U100">
            <v>36.840000000000003</v>
          </cell>
          <cell r="V100">
            <v>4.68</v>
          </cell>
          <cell r="W100">
            <v>4.68</v>
          </cell>
          <cell r="X100">
            <v>4.16</v>
          </cell>
          <cell r="Y100">
            <v>4.16</v>
          </cell>
          <cell r="Z100">
            <v>4.68</v>
          </cell>
          <cell r="AA100">
            <v>3.3</v>
          </cell>
          <cell r="AB100">
            <v>5.04</v>
          </cell>
          <cell r="AC100">
            <v>5.04</v>
          </cell>
          <cell r="AD100">
            <v>5.04</v>
          </cell>
          <cell r="AE100">
            <v>5.04</v>
          </cell>
          <cell r="AF100">
            <v>5.04</v>
          </cell>
          <cell r="AG100">
            <v>5.04</v>
          </cell>
          <cell r="AH100">
            <v>60</v>
          </cell>
          <cell r="AI100">
            <v>30.5</v>
          </cell>
          <cell r="AJ100">
            <v>12</v>
          </cell>
          <cell r="AK100">
            <v>6.16</v>
          </cell>
          <cell r="AL100">
            <v>2.5</v>
          </cell>
          <cell r="AM100">
            <v>3</v>
          </cell>
          <cell r="AN100">
            <v>0.9</v>
          </cell>
          <cell r="AO100">
            <v>0.3</v>
          </cell>
          <cell r="AP100">
            <v>1.74</v>
          </cell>
        </row>
        <row r="101">
          <cell r="C101">
            <v>229.69</v>
          </cell>
          <cell r="D101">
            <v>70.31</v>
          </cell>
          <cell r="E101">
            <v>205.58</v>
          </cell>
          <cell r="F101">
            <v>124.21</v>
          </cell>
          <cell r="G101">
            <v>24.01</v>
          </cell>
          <cell r="H101">
            <v>119.92</v>
          </cell>
          <cell r="I101">
            <v>69.08</v>
          </cell>
          <cell r="J101">
            <v>69.08</v>
          </cell>
          <cell r="K101">
            <v>3.6</v>
          </cell>
          <cell r="L101">
            <v>3.6</v>
          </cell>
          <cell r="M101">
            <v>3.6</v>
          </cell>
          <cell r="N101">
            <v>3.6</v>
          </cell>
          <cell r="O101">
            <v>41.45</v>
          </cell>
          <cell r="P101">
            <v>33.700000000000003</v>
          </cell>
          <cell r="Q101">
            <v>41.45</v>
          </cell>
          <cell r="R101">
            <v>32.68</v>
          </cell>
          <cell r="S101">
            <v>36.840000000000003</v>
          </cell>
          <cell r="T101">
            <v>1.8</v>
          </cell>
          <cell r="U101">
            <v>36.840000000000003</v>
          </cell>
          <cell r="V101">
            <v>4.68</v>
          </cell>
          <cell r="W101">
            <v>4.68</v>
          </cell>
          <cell r="X101">
            <v>4.16</v>
          </cell>
          <cell r="Y101">
            <v>4.16</v>
          </cell>
          <cell r="Z101">
            <v>4.68</v>
          </cell>
          <cell r="AA101">
            <v>3.3</v>
          </cell>
          <cell r="AB101">
            <v>5.04</v>
          </cell>
          <cell r="AC101">
            <v>5.04</v>
          </cell>
          <cell r="AD101">
            <v>5.04</v>
          </cell>
          <cell r="AE101">
            <v>5.04</v>
          </cell>
          <cell r="AF101">
            <v>5.04</v>
          </cell>
          <cell r="AG101">
            <v>5.04</v>
          </cell>
          <cell r="AH101">
            <v>60</v>
          </cell>
          <cell r="AI101">
            <v>30.5</v>
          </cell>
          <cell r="AJ101">
            <v>12</v>
          </cell>
          <cell r="AK101">
            <v>6.16</v>
          </cell>
          <cell r="AL101">
            <v>2.5</v>
          </cell>
          <cell r="AM101">
            <v>3</v>
          </cell>
          <cell r="AN101">
            <v>0.9</v>
          </cell>
          <cell r="AO101">
            <v>0.3</v>
          </cell>
          <cell r="AP101">
            <v>1.74</v>
          </cell>
        </row>
        <row r="102">
          <cell r="C102">
            <v>227.94</v>
          </cell>
          <cell r="D102">
            <v>70.31</v>
          </cell>
          <cell r="E102">
            <v>205.58</v>
          </cell>
          <cell r="F102">
            <v>124.21</v>
          </cell>
          <cell r="G102">
            <v>24.01</v>
          </cell>
          <cell r="H102">
            <v>119.92</v>
          </cell>
          <cell r="I102">
            <v>69.08</v>
          </cell>
          <cell r="J102">
            <v>69.08</v>
          </cell>
          <cell r="K102">
            <v>3.6</v>
          </cell>
          <cell r="L102">
            <v>3.6</v>
          </cell>
          <cell r="M102">
            <v>3.6</v>
          </cell>
          <cell r="N102">
            <v>3.6</v>
          </cell>
          <cell r="O102">
            <v>41.45</v>
          </cell>
          <cell r="P102">
            <v>33.700000000000003</v>
          </cell>
          <cell r="Q102">
            <v>41.45</v>
          </cell>
          <cell r="R102">
            <v>32.68</v>
          </cell>
          <cell r="S102">
            <v>36.840000000000003</v>
          </cell>
          <cell r="T102">
            <v>1.8</v>
          </cell>
          <cell r="U102">
            <v>36.840000000000003</v>
          </cell>
          <cell r="V102">
            <v>4.68</v>
          </cell>
          <cell r="W102">
            <v>4.68</v>
          </cell>
          <cell r="X102">
            <v>4.16</v>
          </cell>
          <cell r="Y102">
            <v>4.16</v>
          </cell>
          <cell r="Z102">
            <v>4.68</v>
          </cell>
          <cell r="AA102">
            <v>3.3</v>
          </cell>
          <cell r="AB102">
            <v>5.04</v>
          </cell>
          <cell r="AC102">
            <v>5.04</v>
          </cell>
          <cell r="AD102">
            <v>5.04</v>
          </cell>
          <cell r="AE102">
            <v>5.04</v>
          </cell>
          <cell r="AF102">
            <v>5.04</v>
          </cell>
          <cell r="AG102">
            <v>5.04</v>
          </cell>
          <cell r="AH102">
            <v>60</v>
          </cell>
          <cell r="AI102">
            <v>30.5</v>
          </cell>
          <cell r="AJ102">
            <v>20.82</v>
          </cell>
          <cell r="AK102">
            <v>6.16</v>
          </cell>
          <cell r="AL102">
            <v>2.5</v>
          </cell>
          <cell r="AM102">
            <v>3</v>
          </cell>
          <cell r="AN102">
            <v>0.9</v>
          </cell>
          <cell r="AO102">
            <v>0.54</v>
          </cell>
          <cell r="AP102">
            <v>1.74</v>
          </cell>
        </row>
        <row r="103">
          <cell r="C103">
            <v>174.59</v>
          </cell>
          <cell r="D103">
            <v>70.31</v>
          </cell>
          <cell r="E103">
            <v>205.58</v>
          </cell>
          <cell r="F103">
            <v>124.21</v>
          </cell>
          <cell r="G103">
            <v>24.01</v>
          </cell>
          <cell r="H103">
            <v>119.92</v>
          </cell>
          <cell r="I103">
            <v>69.08</v>
          </cell>
          <cell r="J103">
            <v>69.08</v>
          </cell>
          <cell r="K103">
            <v>3.6</v>
          </cell>
          <cell r="L103">
            <v>3.6</v>
          </cell>
          <cell r="M103">
            <v>3.6</v>
          </cell>
          <cell r="N103">
            <v>3.6</v>
          </cell>
          <cell r="O103">
            <v>41.45</v>
          </cell>
          <cell r="P103">
            <v>33.700000000000003</v>
          </cell>
          <cell r="Q103">
            <v>41.45</v>
          </cell>
          <cell r="R103">
            <v>32.68</v>
          </cell>
          <cell r="S103">
            <v>36.840000000000003</v>
          </cell>
          <cell r="T103">
            <v>1.8</v>
          </cell>
          <cell r="U103">
            <v>36.840000000000003</v>
          </cell>
          <cell r="V103">
            <v>4.68</v>
          </cell>
          <cell r="W103">
            <v>4.68</v>
          </cell>
          <cell r="X103">
            <v>4.16</v>
          </cell>
          <cell r="Y103">
            <v>4.16</v>
          </cell>
          <cell r="Z103">
            <v>4.68</v>
          </cell>
          <cell r="AA103">
            <v>3.3</v>
          </cell>
          <cell r="AB103">
            <v>5.04</v>
          </cell>
          <cell r="AC103">
            <v>5.04</v>
          </cell>
          <cell r="AD103">
            <v>5.04</v>
          </cell>
          <cell r="AE103">
            <v>5.04</v>
          </cell>
          <cell r="AF103">
            <v>5.04</v>
          </cell>
          <cell r="AG103">
            <v>5.04</v>
          </cell>
          <cell r="AH103">
            <v>60</v>
          </cell>
          <cell r="AI103">
            <v>43.6</v>
          </cell>
          <cell r="AJ103">
            <v>37.049999999999997</v>
          </cell>
          <cell r="AK103">
            <v>6.16</v>
          </cell>
          <cell r="AL103">
            <v>2.5</v>
          </cell>
          <cell r="AM103">
            <v>3</v>
          </cell>
          <cell r="AN103">
            <v>0.9</v>
          </cell>
          <cell r="AO103">
            <v>0.67</v>
          </cell>
          <cell r="AP103">
            <v>1.74</v>
          </cell>
        </row>
        <row r="104">
          <cell r="C104">
            <v>220.43</v>
          </cell>
          <cell r="D104">
            <v>70.31</v>
          </cell>
          <cell r="E104">
            <v>205.58</v>
          </cell>
          <cell r="F104">
            <v>124.21</v>
          </cell>
          <cell r="G104">
            <v>24.01</v>
          </cell>
          <cell r="H104">
            <v>119.92</v>
          </cell>
          <cell r="I104">
            <v>69.08</v>
          </cell>
          <cell r="J104">
            <v>69.08</v>
          </cell>
          <cell r="K104">
            <v>3.6</v>
          </cell>
          <cell r="L104">
            <v>3.6</v>
          </cell>
          <cell r="M104">
            <v>3.6</v>
          </cell>
          <cell r="N104">
            <v>3.6</v>
          </cell>
          <cell r="O104">
            <v>41.45</v>
          </cell>
          <cell r="P104">
            <v>33.700000000000003</v>
          </cell>
          <cell r="Q104">
            <v>41.45</v>
          </cell>
          <cell r="R104">
            <v>32.68</v>
          </cell>
          <cell r="S104">
            <v>36.840000000000003</v>
          </cell>
          <cell r="T104">
            <v>1.8</v>
          </cell>
          <cell r="U104">
            <v>36.840000000000003</v>
          </cell>
          <cell r="V104">
            <v>4.68</v>
          </cell>
          <cell r="W104">
            <v>4.68</v>
          </cell>
          <cell r="X104">
            <v>4.16</v>
          </cell>
          <cell r="Y104">
            <v>4.16</v>
          </cell>
          <cell r="Z104">
            <v>4.68</v>
          </cell>
          <cell r="AA104">
            <v>3.3</v>
          </cell>
          <cell r="AB104">
            <v>5.04</v>
          </cell>
          <cell r="AC104">
            <v>5.04</v>
          </cell>
          <cell r="AD104">
            <v>5.04</v>
          </cell>
          <cell r="AE104">
            <v>5.04</v>
          </cell>
          <cell r="AF104">
            <v>5.04</v>
          </cell>
          <cell r="AG104">
            <v>5.04</v>
          </cell>
          <cell r="AH104">
            <v>60</v>
          </cell>
          <cell r="AI104">
            <v>75.03</v>
          </cell>
          <cell r="AJ104">
            <v>37.049999999999997</v>
          </cell>
          <cell r="AK104">
            <v>6.16</v>
          </cell>
          <cell r="AL104">
            <v>2.5</v>
          </cell>
          <cell r="AM104">
            <v>3</v>
          </cell>
          <cell r="AN104">
            <v>0.9</v>
          </cell>
          <cell r="AO104">
            <v>0.67</v>
          </cell>
          <cell r="AP104">
            <v>1.74</v>
          </cell>
        </row>
        <row r="105">
          <cell r="C105">
            <v>659.25</v>
          </cell>
          <cell r="D105">
            <v>70.31</v>
          </cell>
          <cell r="E105">
            <v>205.58</v>
          </cell>
          <cell r="F105">
            <v>124.21</v>
          </cell>
          <cell r="G105">
            <v>24.01</v>
          </cell>
          <cell r="H105">
            <v>119.92</v>
          </cell>
          <cell r="I105">
            <v>69.08</v>
          </cell>
          <cell r="J105">
            <v>69.08</v>
          </cell>
          <cell r="K105">
            <v>3.6</v>
          </cell>
          <cell r="L105">
            <v>3.6</v>
          </cell>
          <cell r="M105">
            <v>3.6</v>
          </cell>
          <cell r="N105">
            <v>3.6</v>
          </cell>
          <cell r="O105">
            <v>41.45</v>
          </cell>
          <cell r="P105">
            <v>33.700000000000003</v>
          </cell>
          <cell r="Q105">
            <v>41.45</v>
          </cell>
          <cell r="R105">
            <v>32.68</v>
          </cell>
          <cell r="S105">
            <v>36.840000000000003</v>
          </cell>
          <cell r="T105">
            <v>1.8</v>
          </cell>
          <cell r="U105">
            <v>36.840000000000003</v>
          </cell>
          <cell r="V105">
            <v>4.68</v>
          </cell>
          <cell r="W105">
            <v>4.68</v>
          </cell>
          <cell r="X105">
            <v>4.16</v>
          </cell>
          <cell r="Y105">
            <v>4.16</v>
          </cell>
          <cell r="Z105">
            <v>4.68</v>
          </cell>
          <cell r="AA105">
            <v>3.3</v>
          </cell>
          <cell r="AB105">
            <v>5.04</v>
          </cell>
          <cell r="AC105">
            <v>5.04</v>
          </cell>
          <cell r="AD105">
            <v>5.04</v>
          </cell>
          <cell r="AE105">
            <v>5.04</v>
          </cell>
          <cell r="AF105">
            <v>5.04</v>
          </cell>
          <cell r="AG105">
            <v>5.04</v>
          </cell>
          <cell r="AH105">
            <v>154.4</v>
          </cell>
          <cell r="AI105">
            <v>75.03</v>
          </cell>
          <cell r="AJ105">
            <v>37.049999999999997</v>
          </cell>
          <cell r="AK105">
            <v>6.16</v>
          </cell>
          <cell r="AL105">
            <v>4.82</v>
          </cell>
          <cell r="AM105">
            <v>10.029999999999999</v>
          </cell>
          <cell r="AN105">
            <v>1.54</v>
          </cell>
          <cell r="AO105">
            <v>0.67</v>
          </cell>
          <cell r="AP105">
            <v>1.74</v>
          </cell>
        </row>
        <row r="106">
          <cell r="C106">
            <v>638.98</v>
          </cell>
          <cell r="D106">
            <v>70.31</v>
          </cell>
          <cell r="E106">
            <v>205.58</v>
          </cell>
          <cell r="F106">
            <v>124.21</v>
          </cell>
          <cell r="G106">
            <v>24.01</v>
          </cell>
          <cell r="H106">
            <v>119.92</v>
          </cell>
          <cell r="I106">
            <v>69.08</v>
          </cell>
          <cell r="J106">
            <v>69.08</v>
          </cell>
          <cell r="K106">
            <v>3.6</v>
          </cell>
          <cell r="L106">
            <v>3.6</v>
          </cell>
          <cell r="M106">
            <v>3.6</v>
          </cell>
          <cell r="N106">
            <v>3.6</v>
          </cell>
          <cell r="O106">
            <v>41.45</v>
          </cell>
          <cell r="P106">
            <v>33.700000000000003</v>
          </cell>
          <cell r="Q106">
            <v>41.45</v>
          </cell>
          <cell r="R106">
            <v>32.68</v>
          </cell>
          <cell r="S106">
            <v>36.840000000000003</v>
          </cell>
          <cell r="T106">
            <v>1.8</v>
          </cell>
          <cell r="U106">
            <v>36.840000000000003</v>
          </cell>
          <cell r="V106">
            <v>4.68</v>
          </cell>
          <cell r="W106">
            <v>4.68</v>
          </cell>
          <cell r="X106">
            <v>4.16</v>
          </cell>
          <cell r="Y106">
            <v>4.16</v>
          </cell>
          <cell r="Z106">
            <v>4.68</v>
          </cell>
          <cell r="AA106">
            <v>3.3</v>
          </cell>
          <cell r="AB106">
            <v>5.04</v>
          </cell>
          <cell r="AC106">
            <v>5.04</v>
          </cell>
          <cell r="AD106">
            <v>5.04</v>
          </cell>
          <cell r="AE106">
            <v>5.04</v>
          </cell>
          <cell r="AF106">
            <v>5.04</v>
          </cell>
          <cell r="AG106">
            <v>5.04</v>
          </cell>
          <cell r="AH106">
            <v>154.4</v>
          </cell>
          <cell r="AI106">
            <v>75.03</v>
          </cell>
          <cell r="AJ106">
            <v>37.049999999999997</v>
          </cell>
          <cell r="AK106">
            <v>6.16</v>
          </cell>
          <cell r="AL106">
            <v>4.82</v>
          </cell>
          <cell r="AM106">
            <v>10.029999999999999</v>
          </cell>
          <cell r="AN106">
            <v>1.24</v>
          </cell>
          <cell r="AO106">
            <v>0.67</v>
          </cell>
          <cell r="AP106">
            <v>1.74</v>
          </cell>
        </row>
        <row r="107">
          <cell r="C107">
            <v>538.76</v>
          </cell>
          <cell r="D107">
            <v>70.31</v>
          </cell>
          <cell r="E107">
            <v>205.58</v>
          </cell>
          <cell r="F107">
            <v>124.21</v>
          </cell>
          <cell r="G107">
            <v>24.01</v>
          </cell>
          <cell r="H107">
            <v>119.92</v>
          </cell>
          <cell r="I107">
            <v>69.08</v>
          </cell>
          <cell r="J107">
            <v>69.08</v>
          </cell>
          <cell r="K107">
            <v>3.6</v>
          </cell>
          <cell r="L107">
            <v>3.6</v>
          </cell>
          <cell r="M107">
            <v>3.6</v>
          </cell>
          <cell r="N107">
            <v>3.6</v>
          </cell>
          <cell r="O107">
            <v>41.45</v>
          </cell>
          <cell r="P107">
            <v>33.700000000000003</v>
          </cell>
          <cell r="Q107">
            <v>41.45</v>
          </cell>
          <cell r="R107">
            <v>32.68</v>
          </cell>
          <cell r="S107">
            <v>36.840000000000003</v>
          </cell>
          <cell r="T107">
            <v>1.8</v>
          </cell>
          <cell r="U107">
            <v>36.840000000000003</v>
          </cell>
          <cell r="V107">
            <v>4.68</v>
          </cell>
          <cell r="W107">
            <v>4.68</v>
          </cell>
          <cell r="X107">
            <v>4.16</v>
          </cell>
          <cell r="Y107">
            <v>4.16</v>
          </cell>
          <cell r="Z107">
            <v>4.68</v>
          </cell>
          <cell r="AA107">
            <v>3.3</v>
          </cell>
          <cell r="AB107">
            <v>5.04</v>
          </cell>
          <cell r="AC107">
            <v>5.04</v>
          </cell>
          <cell r="AD107">
            <v>5.04</v>
          </cell>
          <cell r="AE107">
            <v>5.04</v>
          </cell>
          <cell r="AF107">
            <v>5.04</v>
          </cell>
          <cell r="AG107">
            <v>5.04</v>
          </cell>
          <cell r="AH107">
            <v>98.95</v>
          </cell>
          <cell r="AI107">
            <v>75.03</v>
          </cell>
          <cell r="AJ107">
            <v>37.049999999999997</v>
          </cell>
          <cell r="AK107">
            <v>6.16</v>
          </cell>
          <cell r="AL107">
            <v>4.82</v>
          </cell>
          <cell r="AM107">
            <v>10.029999999999999</v>
          </cell>
          <cell r="AN107">
            <v>0.9</v>
          </cell>
          <cell r="AO107">
            <v>0.67</v>
          </cell>
          <cell r="AP107">
            <v>1.74</v>
          </cell>
        </row>
        <row r="108">
          <cell r="C108">
            <v>349.27</v>
          </cell>
          <cell r="D108">
            <v>70.31</v>
          </cell>
          <cell r="E108">
            <v>205.58</v>
          </cell>
          <cell r="F108">
            <v>124.21</v>
          </cell>
          <cell r="G108">
            <v>24.01</v>
          </cell>
          <cell r="H108">
            <v>119.92</v>
          </cell>
          <cell r="I108">
            <v>69.08</v>
          </cell>
          <cell r="J108">
            <v>69.08</v>
          </cell>
          <cell r="K108">
            <v>3.6</v>
          </cell>
          <cell r="L108">
            <v>3.6</v>
          </cell>
          <cell r="M108">
            <v>3.6</v>
          </cell>
          <cell r="N108">
            <v>3.6</v>
          </cell>
          <cell r="O108">
            <v>41.45</v>
          </cell>
          <cell r="P108">
            <v>33.700000000000003</v>
          </cell>
          <cell r="Q108">
            <v>41.45</v>
          </cell>
          <cell r="R108">
            <v>32.68</v>
          </cell>
          <cell r="S108">
            <v>36.840000000000003</v>
          </cell>
          <cell r="T108">
            <v>1.8</v>
          </cell>
          <cell r="U108">
            <v>36.840000000000003</v>
          </cell>
          <cell r="V108">
            <v>4.68</v>
          </cell>
          <cell r="W108">
            <v>4.68</v>
          </cell>
          <cell r="X108">
            <v>4.16</v>
          </cell>
          <cell r="Y108">
            <v>4.16</v>
          </cell>
          <cell r="Z108">
            <v>4.68</v>
          </cell>
          <cell r="AA108">
            <v>3.3</v>
          </cell>
          <cell r="AB108">
            <v>5.04</v>
          </cell>
          <cell r="AC108">
            <v>5.04</v>
          </cell>
          <cell r="AD108">
            <v>5.04</v>
          </cell>
          <cell r="AE108">
            <v>5.04</v>
          </cell>
          <cell r="AF108">
            <v>5.04</v>
          </cell>
          <cell r="AG108">
            <v>5.04</v>
          </cell>
          <cell r="AH108">
            <v>60</v>
          </cell>
          <cell r="AI108">
            <v>75.03</v>
          </cell>
          <cell r="AJ108">
            <v>37.049999999999997</v>
          </cell>
          <cell r="AK108">
            <v>6.16</v>
          </cell>
          <cell r="AL108">
            <v>3.28</v>
          </cell>
          <cell r="AM108">
            <v>6.68</v>
          </cell>
          <cell r="AN108">
            <v>0.9</v>
          </cell>
          <cell r="AO108">
            <v>0.67</v>
          </cell>
          <cell r="AP108">
            <v>1.74</v>
          </cell>
        </row>
        <row r="109">
          <cell r="C109">
            <v>222.39</v>
          </cell>
          <cell r="D109">
            <v>70.31</v>
          </cell>
          <cell r="E109">
            <v>205.58</v>
          </cell>
          <cell r="F109">
            <v>124.21</v>
          </cell>
          <cell r="G109">
            <v>0</v>
          </cell>
          <cell r="H109">
            <v>119.92</v>
          </cell>
          <cell r="I109">
            <v>69.08</v>
          </cell>
          <cell r="J109">
            <v>69.08</v>
          </cell>
          <cell r="K109">
            <v>3.6</v>
          </cell>
          <cell r="L109">
            <v>3.6</v>
          </cell>
          <cell r="M109">
            <v>3.6</v>
          </cell>
          <cell r="N109">
            <v>3.6</v>
          </cell>
          <cell r="O109">
            <v>41.45</v>
          </cell>
          <cell r="P109">
            <v>33.700000000000003</v>
          </cell>
          <cell r="Q109">
            <v>41.45</v>
          </cell>
          <cell r="R109">
            <v>32.68</v>
          </cell>
          <cell r="S109">
            <v>36.840000000000003</v>
          </cell>
          <cell r="T109">
            <v>0</v>
          </cell>
          <cell r="U109">
            <v>0</v>
          </cell>
          <cell r="V109">
            <v>4.68</v>
          </cell>
          <cell r="W109">
            <v>4.68</v>
          </cell>
          <cell r="X109">
            <v>4.16</v>
          </cell>
          <cell r="Y109">
            <v>4.16</v>
          </cell>
          <cell r="Z109">
            <v>4.68</v>
          </cell>
          <cell r="AA109">
            <v>3.3</v>
          </cell>
          <cell r="AB109">
            <v>5.04</v>
          </cell>
          <cell r="AC109">
            <v>5.04</v>
          </cell>
          <cell r="AD109">
            <v>5.04</v>
          </cell>
          <cell r="AE109">
            <v>5.04</v>
          </cell>
          <cell r="AF109">
            <v>5.04</v>
          </cell>
          <cell r="AG109">
            <v>5.04</v>
          </cell>
          <cell r="AH109">
            <v>60</v>
          </cell>
          <cell r="AI109">
            <v>30.5</v>
          </cell>
          <cell r="AJ109">
            <v>12</v>
          </cell>
          <cell r="AK109">
            <v>6.16</v>
          </cell>
          <cell r="AL109">
            <v>2.5</v>
          </cell>
          <cell r="AM109">
            <v>3</v>
          </cell>
          <cell r="AN109">
            <v>0.9</v>
          </cell>
          <cell r="AO109">
            <v>0.3</v>
          </cell>
          <cell r="AP109">
            <v>0.9</v>
          </cell>
        </row>
        <row r="110">
          <cell r="C110">
            <v>241.08</v>
          </cell>
          <cell r="D110">
            <v>70.31</v>
          </cell>
          <cell r="E110">
            <v>0</v>
          </cell>
          <cell r="F110">
            <v>124.21</v>
          </cell>
          <cell r="G110">
            <v>0</v>
          </cell>
          <cell r="H110">
            <v>119.92</v>
          </cell>
          <cell r="I110">
            <v>69.08</v>
          </cell>
          <cell r="J110">
            <v>69.08</v>
          </cell>
          <cell r="K110">
            <v>3.6</v>
          </cell>
          <cell r="L110">
            <v>3.6</v>
          </cell>
          <cell r="M110">
            <v>3.6</v>
          </cell>
          <cell r="N110">
            <v>3.6</v>
          </cell>
          <cell r="O110">
            <v>41.45</v>
          </cell>
          <cell r="P110">
            <v>33.700000000000003</v>
          </cell>
          <cell r="Q110">
            <v>41.45</v>
          </cell>
          <cell r="R110">
            <v>32.68</v>
          </cell>
          <cell r="S110">
            <v>36.840000000000003</v>
          </cell>
          <cell r="T110">
            <v>0</v>
          </cell>
          <cell r="U110">
            <v>0</v>
          </cell>
          <cell r="V110">
            <v>4.68</v>
          </cell>
          <cell r="W110">
            <v>4.68</v>
          </cell>
          <cell r="X110">
            <v>4.16</v>
          </cell>
          <cell r="Y110">
            <v>4.16</v>
          </cell>
          <cell r="Z110">
            <v>4.68</v>
          </cell>
          <cell r="AA110">
            <v>3.3</v>
          </cell>
          <cell r="AB110">
            <v>5.04</v>
          </cell>
          <cell r="AC110">
            <v>5.04</v>
          </cell>
          <cell r="AD110">
            <v>5.04</v>
          </cell>
          <cell r="AE110">
            <v>5.04</v>
          </cell>
          <cell r="AF110">
            <v>5.04</v>
          </cell>
          <cell r="AG110">
            <v>5.04</v>
          </cell>
          <cell r="AH110">
            <v>60</v>
          </cell>
          <cell r="AI110">
            <v>30.5</v>
          </cell>
          <cell r="AJ110">
            <v>12</v>
          </cell>
          <cell r="AK110">
            <v>4</v>
          </cell>
          <cell r="AL110">
            <v>2.5</v>
          </cell>
          <cell r="AM110">
            <v>3</v>
          </cell>
          <cell r="AN110">
            <v>0.9</v>
          </cell>
          <cell r="AO110">
            <v>0.3</v>
          </cell>
          <cell r="AP110">
            <v>0.9</v>
          </cell>
        </row>
        <row r="112">
          <cell r="C112">
            <v>6634.05</v>
          </cell>
          <cell r="D112">
            <v>1557.4</v>
          </cell>
          <cell r="E112">
            <v>2981.81</v>
          </cell>
          <cell r="F112">
            <v>2981.12</v>
          </cell>
          <cell r="G112">
            <v>312.10000000000002</v>
          </cell>
          <cell r="H112">
            <v>2878.19</v>
          </cell>
          <cell r="I112">
            <v>1657.88</v>
          </cell>
          <cell r="J112">
            <v>1657.88</v>
          </cell>
          <cell r="K112">
            <v>86.39</v>
          </cell>
          <cell r="L112">
            <v>86.39</v>
          </cell>
          <cell r="M112">
            <v>86.39</v>
          </cell>
          <cell r="N112">
            <v>86.39</v>
          </cell>
          <cell r="O112">
            <v>994.75</v>
          </cell>
          <cell r="P112">
            <v>808.82</v>
          </cell>
          <cell r="Q112">
            <v>994.75</v>
          </cell>
          <cell r="R112">
            <v>784.37</v>
          </cell>
          <cell r="S112">
            <v>872.35</v>
          </cell>
          <cell r="T112">
            <v>19.82</v>
          </cell>
          <cell r="U112">
            <v>331.56</v>
          </cell>
          <cell r="V112">
            <v>112.37</v>
          </cell>
          <cell r="W112">
            <v>112.37</v>
          </cell>
          <cell r="X112">
            <v>99.93</v>
          </cell>
          <cell r="Y112">
            <v>99.93</v>
          </cell>
          <cell r="Z112">
            <v>112.37</v>
          </cell>
          <cell r="AA112">
            <v>79.2</v>
          </cell>
          <cell r="AB112">
            <v>120.88</v>
          </cell>
          <cell r="AC112">
            <v>120.88</v>
          </cell>
          <cell r="AD112">
            <v>120.88</v>
          </cell>
          <cell r="AE112">
            <v>120.88</v>
          </cell>
          <cell r="AF112">
            <v>120.88</v>
          </cell>
          <cell r="AG112">
            <v>120.88</v>
          </cell>
          <cell r="AH112">
            <v>1667.74</v>
          </cell>
          <cell r="AI112">
            <v>967.74</v>
          </cell>
          <cell r="AJ112">
            <v>447.1</v>
          </cell>
          <cell r="AK112">
            <v>129.03</v>
          </cell>
          <cell r="AL112">
            <v>67.739999999999995</v>
          </cell>
          <cell r="AM112">
            <v>96.77</v>
          </cell>
          <cell r="AN112">
            <v>22.58</v>
          </cell>
          <cell r="AO112">
            <v>9.68</v>
          </cell>
          <cell r="AP112">
            <v>32.26</v>
          </cell>
        </row>
        <row r="114">
          <cell r="C114">
            <v>2E-3</v>
          </cell>
          <cell r="D114">
            <v>2E-3</v>
          </cell>
          <cell r="E114">
            <v>2E-3</v>
          </cell>
          <cell r="F114">
            <v>2.5700000000000001E-2</v>
          </cell>
          <cell r="G114">
            <v>3.32E-2</v>
          </cell>
          <cell r="H114">
            <v>2.75E-2</v>
          </cell>
          <cell r="I114">
            <v>2.7799999999999998E-2</v>
          </cell>
          <cell r="J114">
            <v>2.81E-2</v>
          </cell>
          <cell r="K114">
            <v>3.2000000000000001E-2</v>
          </cell>
          <cell r="L114">
            <v>3.2199999999999999E-2</v>
          </cell>
          <cell r="M114">
            <v>3.2199999999999999E-2</v>
          </cell>
          <cell r="N114">
            <v>3.2199999999999999E-2</v>
          </cell>
          <cell r="O114">
            <v>3.9E-2</v>
          </cell>
          <cell r="P114">
            <v>3.95E-2</v>
          </cell>
          <cell r="Q114">
            <v>4.1000000000000002E-2</v>
          </cell>
          <cell r="R114">
            <v>3.4299999999999997E-2</v>
          </cell>
          <cell r="S114">
            <v>4.1799999999999997E-2</v>
          </cell>
          <cell r="T114">
            <v>4.1799999999999997E-2</v>
          </cell>
          <cell r="U114">
            <v>4.2200000000000001E-2</v>
          </cell>
          <cell r="V114">
            <v>3.7100000000000001E-2</v>
          </cell>
          <cell r="W114">
            <v>3.7100000000000001E-2</v>
          </cell>
          <cell r="X114">
            <v>3.7100000000000001E-2</v>
          </cell>
          <cell r="Y114">
            <v>3.7100000000000001E-2</v>
          </cell>
          <cell r="Z114">
            <v>3.7100000000000001E-2</v>
          </cell>
          <cell r="AA114">
            <v>3.7100000000000001E-2</v>
          </cell>
          <cell r="AB114">
            <v>4.0899999999999999E-2</v>
          </cell>
          <cell r="AC114">
            <v>4.0899999999999999E-2</v>
          </cell>
          <cell r="AD114">
            <v>4.0899999999999999E-2</v>
          </cell>
          <cell r="AE114">
            <v>4.0899999999999999E-2</v>
          </cell>
          <cell r="AF114">
            <v>4.0899999999999999E-2</v>
          </cell>
          <cell r="AG114">
            <v>4.0899999999999999E-2</v>
          </cell>
          <cell r="AH114">
            <v>2E-3</v>
          </cell>
          <cell r="AI114">
            <v>2E-3</v>
          </cell>
          <cell r="AJ114">
            <v>2E-3</v>
          </cell>
          <cell r="AK114">
            <v>2E-3</v>
          </cell>
          <cell r="AL114">
            <v>2E-3</v>
          </cell>
          <cell r="AM114">
            <v>2E-3</v>
          </cell>
          <cell r="AN114">
            <v>2E-3</v>
          </cell>
          <cell r="AO114">
            <v>2E-3</v>
          </cell>
          <cell r="AP114">
            <v>2E-3</v>
          </cell>
        </row>
        <row r="125">
          <cell r="C125" t="str">
            <v xml:space="preserve">H-PAUTE </v>
          </cell>
          <cell r="D125" t="str">
            <v>H-PUCARA</v>
          </cell>
          <cell r="E125" t="str">
            <v>H-NACION</v>
          </cell>
          <cell r="F125" t="str">
            <v>E-TRINIT</v>
          </cell>
          <cell r="G125" t="str">
            <v>IN-COLOM</v>
          </cell>
          <cell r="H125" t="str">
            <v xml:space="preserve">T-ESMER </v>
          </cell>
          <cell r="I125" t="str">
            <v>E.GZ.TV3</v>
          </cell>
          <cell r="J125" t="str">
            <v>E.GZ.TV2</v>
          </cell>
          <cell r="K125" t="str">
            <v>CSURDES1</v>
          </cell>
          <cell r="L125" t="str">
            <v>CSURDES2</v>
          </cell>
          <cell r="M125" t="str">
            <v>CSURDES3</v>
          </cell>
          <cell r="N125" t="str">
            <v>CSURDES4</v>
          </cell>
          <cell r="O125" t="str">
            <v xml:space="preserve">EQL3-U3 </v>
          </cell>
          <cell r="P125" t="str">
            <v>ELEC-AT1</v>
          </cell>
          <cell r="Q125" t="str">
            <v>E.VASANT</v>
          </cell>
          <cell r="R125" t="str">
            <v>TPGUANG1</v>
          </cell>
          <cell r="S125" t="str">
            <v>TPGUANG2</v>
          </cell>
          <cell r="T125" t="str">
            <v>TPGUANG3</v>
          </cell>
          <cell r="U125" t="str">
            <v>TPGUANG4</v>
          </cell>
          <cell r="V125" t="str">
            <v>TPGUANG5</v>
          </cell>
          <cell r="W125" t="str">
            <v>TPGUANG6</v>
          </cell>
          <cell r="X125" t="str">
            <v>AGOYAN_H</v>
          </cell>
          <cell r="Y125" t="str">
            <v>EEQ_HIDR</v>
          </cell>
          <cell r="Z125" t="str">
            <v xml:space="preserve">C-SUR_H </v>
          </cell>
          <cell r="AA125" t="str">
            <v>RIOBAM_H</v>
          </cell>
          <cell r="AB125" t="str">
            <v>COTOPX_H</v>
          </cell>
          <cell r="AC125" t="str">
            <v>RNORTE_H</v>
          </cell>
          <cell r="AD125" t="str">
            <v>AMBATO_H</v>
          </cell>
          <cell r="AE125" t="str">
            <v>BOLIVR_H</v>
          </cell>
          <cell r="AF125" t="str">
            <v xml:space="preserve">R-SUR_H </v>
          </cell>
        </row>
        <row r="127">
          <cell r="C127">
            <v>380.29</v>
          </cell>
          <cell r="D127">
            <v>0</v>
          </cell>
          <cell r="E127">
            <v>0</v>
          </cell>
          <cell r="F127">
            <v>124.21</v>
          </cell>
          <cell r="G127">
            <v>0</v>
          </cell>
          <cell r="H127">
            <v>119.92</v>
          </cell>
          <cell r="I127">
            <v>69.08</v>
          </cell>
          <cell r="J127">
            <v>69.08</v>
          </cell>
          <cell r="K127">
            <v>3.6</v>
          </cell>
          <cell r="L127">
            <v>3.6</v>
          </cell>
          <cell r="M127">
            <v>3.6</v>
          </cell>
          <cell r="N127">
            <v>3.6</v>
          </cell>
          <cell r="O127">
            <v>41.45</v>
          </cell>
          <cell r="P127">
            <v>0</v>
          </cell>
          <cell r="Q127">
            <v>32.68</v>
          </cell>
          <cell r="R127">
            <v>4.68</v>
          </cell>
          <cell r="S127">
            <v>4.68</v>
          </cell>
          <cell r="T127">
            <v>4.16</v>
          </cell>
          <cell r="U127">
            <v>4.16</v>
          </cell>
          <cell r="V127">
            <v>4.68</v>
          </cell>
          <cell r="W127">
            <v>3.3</v>
          </cell>
          <cell r="X127">
            <v>60</v>
          </cell>
          <cell r="Y127">
            <v>30.5</v>
          </cell>
          <cell r="Z127">
            <v>12</v>
          </cell>
          <cell r="AA127">
            <v>4</v>
          </cell>
          <cell r="AB127">
            <v>2.5</v>
          </cell>
          <cell r="AC127">
            <v>3</v>
          </cell>
          <cell r="AD127">
            <v>0.9</v>
          </cell>
          <cell r="AE127">
            <v>0.3</v>
          </cell>
          <cell r="AF127">
            <v>0.9</v>
          </cell>
        </row>
        <row r="128">
          <cell r="C128">
            <v>338.87</v>
          </cell>
          <cell r="D128">
            <v>0</v>
          </cell>
          <cell r="E128">
            <v>0</v>
          </cell>
          <cell r="F128">
            <v>124.21</v>
          </cell>
          <cell r="G128">
            <v>0</v>
          </cell>
          <cell r="H128">
            <v>119.92</v>
          </cell>
          <cell r="I128">
            <v>69.08</v>
          </cell>
          <cell r="J128">
            <v>69.08</v>
          </cell>
          <cell r="K128">
            <v>3.6</v>
          </cell>
          <cell r="L128">
            <v>3.6</v>
          </cell>
          <cell r="M128">
            <v>3.6</v>
          </cell>
          <cell r="N128">
            <v>3.6</v>
          </cell>
          <cell r="O128">
            <v>41.45</v>
          </cell>
          <cell r="P128">
            <v>0</v>
          </cell>
          <cell r="Q128">
            <v>32.68</v>
          </cell>
          <cell r="R128">
            <v>4.68</v>
          </cell>
          <cell r="S128">
            <v>4.68</v>
          </cell>
          <cell r="T128">
            <v>4.16</v>
          </cell>
          <cell r="U128">
            <v>4.16</v>
          </cell>
          <cell r="V128">
            <v>4.68</v>
          </cell>
          <cell r="W128">
            <v>3.3</v>
          </cell>
          <cell r="X128">
            <v>60</v>
          </cell>
          <cell r="Y128">
            <v>30.5</v>
          </cell>
          <cell r="Z128">
            <v>12</v>
          </cell>
          <cell r="AA128">
            <v>4</v>
          </cell>
          <cell r="AB128">
            <v>2.5</v>
          </cell>
          <cell r="AC128">
            <v>3</v>
          </cell>
          <cell r="AD128">
            <v>0.9</v>
          </cell>
          <cell r="AE128">
            <v>0.3</v>
          </cell>
          <cell r="AF128">
            <v>0.9</v>
          </cell>
        </row>
        <row r="129">
          <cell r="C129">
            <v>297.60000000000002</v>
          </cell>
          <cell r="D129">
            <v>0</v>
          </cell>
          <cell r="E129">
            <v>0</v>
          </cell>
          <cell r="F129">
            <v>124.21</v>
          </cell>
          <cell r="G129">
            <v>0</v>
          </cell>
          <cell r="H129">
            <v>119.92</v>
          </cell>
          <cell r="I129">
            <v>69.08</v>
          </cell>
          <cell r="J129">
            <v>69.08</v>
          </cell>
          <cell r="K129">
            <v>3.6</v>
          </cell>
          <cell r="L129">
            <v>3.6</v>
          </cell>
          <cell r="M129">
            <v>3.6</v>
          </cell>
          <cell r="N129">
            <v>3.6</v>
          </cell>
          <cell r="O129">
            <v>41.45</v>
          </cell>
          <cell r="P129">
            <v>0</v>
          </cell>
          <cell r="Q129">
            <v>32.68</v>
          </cell>
          <cell r="R129">
            <v>4.68</v>
          </cell>
          <cell r="S129">
            <v>4.68</v>
          </cell>
          <cell r="T129">
            <v>4.16</v>
          </cell>
          <cell r="U129">
            <v>4.16</v>
          </cell>
          <cell r="V129">
            <v>4.68</v>
          </cell>
          <cell r="W129">
            <v>3.3</v>
          </cell>
          <cell r="X129">
            <v>60</v>
          </cell>
          <cell r="Y129">
            <v>30.5</v>
          </cell>
          <cell r="Z129">
            <v>12</v>
          </cell>
          <cell r="AA129">
            <v>4</v>
          </cell>
          <cell r="AB129">
            <v>2.5</v>
          </cell>
          <cell r="AC129">
            <v>3</v>
          </cell>
          <cell r="AD129">
            <v>0.9</v>
          </cell>
          <cell r="AE129">
            <v>0.3</v>
          </cell>
          <cell r="AF129">
            <v>0.9</v>
          </cell>
        </row>
        <row r="130">
          <cell r="C130">
            <v>285.99</v>
          </cell>
          <cell r="D130">
            <v>0</v>
          </cell>
          <cell r="E130">
            <v>0</v>
          </cell>
          <cell r="F130">
            <v>124.21</v>
          </cell>
          <cell r="G130">
            <v>0</v>
          </cell>
          <cell r="H130">
            <v>119.92</v>
          </cell>
          <cell r="I130">
            <v>69.08</v>
          </cell>
          <cell r="J130">
            <v>69.08</v>
          </cell>
          <cell r="K130">
            <v>3.6</v>
          </cell>
          <cell r="L130">
            <v>3.6</v>
          </cell>
          <cell r="M130">
            <v>3.6</v>
          </cell>
          <cell r="N130">
            <v>3.6</v>
          </cell>
          <cell r="O130">
            <v>41.45</v>
          </cell>
          <cell r="P130">
            <v>0</v>
          </cell>
          <cell r="Q130">
            <v>32.68</v>
          </cell>
          <cell r="R130">
            <v>4.68</v>
          </cell>
          <cell r="S130">
            <v>4.68</v>
          </cell>
          <cell r="T130">
            <v>4.16</v>
          </cell>
          <cell r="U130">
            <v>4.16</v>
          </cell>
          <cell r="V130">
            <v>4.68</v>
          </cell>
          <cell r="W130">
            <v>3.3</v>
          </cell>
          <cell r="X130">
            <v>60</v>
          </cell>
          <cell r="Y130">
            <v>30.5</v>
          </cell>
          <cell r="Z130">
            <v>12</v>
          </cell>
          <cell r="AA130">
            <v>4</v>
          </cell>
          <cell r="AB130">
            <v>2.5</v>
          </cell>
          <cell r="AC130">
            <v>3</v>
          </cell>
          <cell r="AD130">
            <v>0.9</v>
          </cell>
          <cell r="AE130">
            <v>0.3</v>
          </cell>
          <cell r="AF130">
            <v>0.9</v>
          </cell>
        </row>
        <row r="131">
          <cell r="C131">
            <v>274.47000000000003</v>
          </cell>
          <cell r="D131">
            <v>0</v>
          </cell>
          <cell r="E131">
            <v>0</v>
          </cell>
          <cell r="F131">
            <v>124.21</v>
          </cell>
          <cell r="G131">
            <v>0</v>
          </cell>
          <cell r="H131">
            <v>119.92</v>
          </cell>
          <cell r="I131">
            <v>69.08</v>
          </cell>
          <cell r="J131">
            <v>69.08</v>
          </cell>
          <cell r="K131">
            <v>3.6</v>
          </cell>
          <cell r="L131">
            <v>3.6</v>
          </cell>
          <cell r="M131">
            <v>3.6</v>
          </cell>
          <cell r="N131">
            <v>3.6</v>
          </cell>
          <cell r="O131">
            <v>41.45</v>
          </cell>
          <cell r="P131">
            <v>0</v>
          </cell>
          <cell r="Q131">
            <v>32.68</v>
          </cell>
          <cell r="R131">
            <v>4.68</v>
          </cell>
          <cell r="S131">
            <v>4.68</v>
          </cell>
          <cell r="T131">
            <v>4.16</v>
          </cell>
          <cell r="U131">
            <v>4.16</v>
          </cell>
          <cell r="V131">
            <v>4.68</v>
          </cell>
          <cell r="W131">
            <v>3.3</v>
          </cell>
          <cell r="X131">
            <v>60</v>
          </cell>
          <cell r="Y131">
            <v>30.5</v>
          </cell>
          <cell r="Z131">
            <v>12</v>
          </cell>
          <cell r="AA131">
            <v>4</v>
          </cell>
          <cell r="AB131">
            <v>2.5</v>
          </cell>
          <cell r="AC131">
            <v>3</v>
          </cell>
          <cell r="AD131">
            <v>0.9</v>
          </cell>
          <cell r="AE131">
            <v>0.3</v>
          </cell>
          <cell r="AF131">
            <v>0.9</v>
          </cell>
        </row>
        <row r="132">
          <cell r="C132">
            <v>266.87</v>
          </cell>
          <cell r="D132">
            <v>26.04</v>
          </cell>
          <cell r="E132">
            <v>0</v>
          </cell>
          <cell r="F132">
            <v>124.21</v>
          </cell>
          <cell r="G132">
            <v>0</v>
          </cell>
          <cell r="H132">
            <v>119.92</v>
          </cell>
          <cell r="I132">
            <v>69.08</v>
          </cell>
          <cell r="J132">
            <v>69.08</v>
          </cell>
          <cell r="K132">
            <v>3.6</v>
          </cell>
          <cell r="L132">
            <v>3.6</v>
          </cell>
          <cell r="M132">
            <v>3.6</v>
          </cell>
          <cell r="N132">
            <v>3.6</v>
          </cell>
          <cell r="O132">
            <v>41.45</v>
          </cell>
          <cell r="P132">
            <v>0</v>
          </cell>
          <cell r="Q132">
            <v>32.68</v>
          </cell>
          <cell r="R132">
            <v>4.68</v>
          </cell>
          <cell r="S132">
            <v>4.68</v>
          </cell>
          <cell r="T132">
            <v>4.16</v>
          </cell>
          <cell r="U132">
            <v>4.16</v>
          </cell>
          <cell r="V132">
            <v>4.68</v>
          </cell>
          <cell r="W132">
            <v>3.3</v>
          </cell>
          <cell r="X132">
            <v>60</v>
          </cell>
          <cell r="Y132">
            <v>30.5</v>
          </cell>
          <cell r="Z132">
            <v>12</v>
          </cell>
          <cell r="AA132">
            <v>4</v>
          </cell>
          <cell r="AB132">
            <v>2.5</v>
          </cell>
          <cell r="AC132">
            <v>3</v>
          </cell>
          <cell r="AD132">
            <v>0.9</v>
          </cell>
          <cell r="AE132">
            <v>0.3</v>
          </cell>
          <cell r="AF132">
            <v>0.9</v>
          </cell>
        </row>
        <row r="133">
          <cell r="C133">
            <v>166.25</v>
          </cell>
          <cell r="D133">
            <v>70.31</v>
          </cell>
          <cell r="E133">
            <v>0</v>
          </cell>
          <cell r="F133">
            <v>124.21</v>
          </cell>
          <cell r="G133">
            <v>0</v>
          </cell>
          <cell r="H133">
            <v>119.92</v>
          </cell>
          <cell r="I133">
            <v>69.08</v>
          </cell>
          <cell r="J133">
            <v>69.08</v>
          </cell>
          <cell r="K133">
            <v>3.6</v>
          </cell>
          <cell r="L133">
            <v>3.6</v>
          </cell>
          <cell r="M133">
            <v>3.6</v>
          </cell>
          <cell r="N133">
            <v>3.6</v>
          </cell>
          <cell r="O133">
            <v>41.45</v>
          </cell>
          <cell r="P133">
            <v>0</v>
          </cell>
          <cell r="Q133">
            <v>32.68</v>
          </cell>
          <cell r="R133">
            <v>4.68</v>
          </cell>
          <cell r="S133">
            <v>4.68</v>
          </cell>
          <cell r="T133">
            <v>4.16</v>
          </cell>
          <cell r="U133">
            <v>4.16</v>
          </cell>
          <cell r="V133">
            <v>4.68</v>
          </cell>
          <cell r="W133">
            <v>3.3</v>
          </cell>
          <cell r="X133">
            <v>60</v>
          </cell>
          <cell r="Y133">
            <v>30.5</v>
          </cell>
          <cell r="Z133">
            <v>12</v>
          </cell>
          <cell r="AA133">
            <v>4</v>
          </cell>
          <cell r="AB133">
            <v>2.5</v>
          </cell>
          <cell r="AC133">
            <v>3</v>
          </cell>
          <cell r="AD133">
            <v>0.9</v>
          </cell>
          <cell r="AE133">
            <v>0.3</v>
          </cell>
          <cell r="AF133">
            <v>0.9</v>
          </cell>
        </row>
        <row r="134">
          <cell r="C134">
            <v>203.89</v>
          </cell>
          <cell r="D134">
            <v>70.31</v>
          </cell>
          <cell r="E134">
            <v>0</v>
          </cell>
          <cell r="F134">
            <v>124.21</v>
          </cell>
          <cell r="G134">
            <v>0</v>
          </cell>
          <cell r="H134">
            <v>119.92</v>
          </cell>
          <cell r="I134">
            <v>69.08</v>
          </cell>
          <cell r="J134">
            <v>69.08</v>
          </cell>
          <cell r="K134">
            <v>3.6</v>
          </cell>
          <cell r="L134">
            <v>3.6</v>
          </cell>
          <cell r="M134">
            <v>3.6</v>
          </cell>
          <cell r="N134">
            <v>3.6</v>
          </cell>
          <cell r="O134">
            <v>41.45</v>
          </cell>
          <cell r="P134">
            <v>0</v>
          </cell>
          <cell r="Q134">
            <v>32.68</v>
          </cell>
          <cell r="R134">
            <v>4.68</v>
          </cell>
          <cell r="S134">
            <v>4.68</v>
          </cell>
          <cell r="T134">
            <v>4.16</v>
          </cell>
          <cell r="U134">
            <v>4.16</v>
          </cell>
          <cell r="V134">
            <v>4.68</v>
          </cell>
          <cell r="W134">
            <v>3.3</v>
          </cell>
          <cell r="X134">
            <v>60</v>
          </cell>
          <cell r="Y134">
            <v>30.5</v>
          </cell>
          <cell r="Z134">
            <v>12</v>
          </cell>
          <cell r="AA134">
            <v>4.5999999999999996</v>
          </cell>
          <cell r="AB134">
            <v>2.5</v>
          </cell>
          <cell r="AC134">
            <v>3</v>
          </cell>
          <cell r="AD134">
            <v>0.9</v>
          </cell>
          <cell r="AE134">
            <v>0.3</v>
          </cell>
          <cell r="AF134">
            <v>0.9</v>
          </cell>
        </row>
        <row r="135">
          <cell r="C135">
            <v>209.42</v>
          </cell>
          <cell r="D135">
            <v>70.31</v>
          </cell>
          <cell r="E135">
            <v>0</v>
          </cell>
          <cell r="F135">
            <v>124.21</v>
          </cell>
          <cell r="G135">
            <v>0</v>
          </cell>
          <cell r="H135">
            <v>119.92</v>
          </cell>
          <cell r="I135">
            <v>69.08</v>
          </cell>
          <cell r="J135">
            <v>69.08</v>
          </cell>
          <cell r="K135">
            <v>3.6</v>
          </cell>
          <cell r="L135">
            <v>3.6</v>
          </cell>
          <cell r="M135">
            <v>3.6</v>
          </cell>
          <cell r="N135">
            <v>3.6</v>
          </cell>
          <cell r="O135">
            <v>41.45</v>
          </cell>
          <cell r="P135">
            <v>33.700000000000003</v>
          </cell>
          <cell r="Q135">
            <v>32.68</v>
          </cell>
          <cell r="R135">
            <v>4.68</v>
          </cell>
          <cell r="S135">
            <v>4.68</v>
          </cell>
          <cell r="T135">
            <v>4.16</v>
          </cell>
          <cell r="U135">
            <v>4.16</v>
          </cell>
          <cell r="V135">
            <v>4.68</v>
          </cell>
          <cell r="W135">
            <v>3.3</v>
          </cell>
          <cell r="X135">
            <v>60</v>
          </cell>
          <cell r="Y135">
            <v>30.5</v>
          </cell>
          <cell r="Z135">
            <v>12</v>
          </cell>
          <cell r="AA135">
            <v>6.16</v>
          </cell>
          <cell r="AB135">
            <v>2.5</v>
          </cell>
          <cell r="AC135">
            <v>3</v>
          </cell>
          <cell r="AD135">
            <v>0.9</v>
          </cell>
          <cell r="AE135">
            <v>0.3</v>
          </cell>
          <cell r="AF135">
            <v>0.9</v>
          </cell>
        </row>
        <row r="136">
          <cell r="C136">
            <v>72.650000000000006</v>
          </cell>
          <cell r="D136">
            <v>70.31</v>
          </cell>
          <cell r="E136">
            <v>120</v>
          </cell>
          <cell r="F136">
            <v>124.21</v>
          </cell>
          <cell r="G136">
            <v>24.01</v>
          </cell>
          <cell r="H136">
            <v>119.92</v>
          </cell>
          <cell r="I136">
            <v>69.08</v>
          </cell>
          <cell r="J136">
            <v>69.08</v>
          </cell>
          <cell r="K136">
            <v>3.6</v>
          </cell>
          <cell r="L136">
            <v>3.6</v>
          </cell>
          <cell r="M136">
            <v>3.6</v>
          </cell>
          <cell r="N136">
            <v>3.6</v>
          </cell>
          <cell r="O136">
            <v>41.45</v>
          </cell>
          <cell r="P136">
            <v>33.700000000000003</v>
          </cell>
          <cell r="Q136">
            <v>32.68</v>
          </cell>
          <cell r="R136">
            <v>4.68</v>
          </cell>
          <cell r="S136">
            <v>4.68</v>
          </cell>
          <cell r="T136">
            <v>4.16</v>
          </cell>
          <cell r="U136">
            <v>4.16</v>
          </cell>
          <cell r="V136">
            <v>4.68</v>
          </cell>
          <cell r="W136">
            <v>3.3</v>
          </cell>
          <cell r="X136">
            <v>60</v>
          </cell>
          <cell r="Y136">
            <v>30.5</v>
          </cell>
          <cell r="Z136">
            <v>12</v>
          </cell>
          <cell r="AA136">
            <v>6.16</v>
          </cell>
          <cell r="AB136">
            <v>2.5</v>
          </cell>
          <cell r="AC136">
            <v>3</v>
          </cell>
          <cell r="AD136">
            <v>0.9</v>
          </cell>
          <cell r="AE136">
            <v>0.3</v>
          </cell>
          <cell r="AF136">
            <v>1.53</v>
          </cell>
        </row>
        <row r="137">
          <cell r="C137">
            <v>87.08</v>
          </cell>
          <cell r="D137">
            <v>70.31</v>
          </cell>
          <cell r="E137">
            <v>120</v>
          </cell>
          <cell r="F137">
            <v>124.21</v>
          </cell>
          <cell r="G137">
            <v>24.01</v>
          </cell>
          <cell r="H137">
            <v>119.92</v>
          </cell>
          <cell r="I137">
            <v>69.08</v>
          </cell>
          <cell r="J137">
            <v>69.08</v>
          </cell>
          <cell r="K137">
            <v>3.6</v>
          </cell>
          <cell r="L137">
            <v>3.6</v>
          </cell>
          <cell r="M137">
            <v>3.6</v>
          </cell>
          <cell r="N137">
            <v>3.6</v>
          </cell>
          <cell r="O137">
            <v>41.45</v>
          </cell>
          <cell r="P137">
            <v>33.700000000000003</v>
          </cell>
          <cell r="Q137">
            <v>32.68</v>
          </cell>
          <cell r="R137">
            <v>4.68</v>
          </cell>
          <cell r="S137">
            <v>4.68</v>
          </cell>
          <cell r="T137">
            <v>4.16</v>
          </cell>
          <cell r="U137">
            <v>4.16</v>
          </cell>
          <cell r="V137">
            <v>4.68</v>
          </cell>
          <cell r="W137">
            <v>3.3</v>
          </cell>
          <cell r="X137">
            <v>60</v>
          </cell>
          <cell r="Y137">
            <v>30.5</v>
          </cell>
          <cell r="Z137">
            <v>12</v>
          </cell>
          <cell r="AA137">
            <v>6.16</v>
          </cell>
          <cell r="AB137">
            <v>2.5</v>
          </cell>
          <cell r="AC137">
            <v>3</v>
          </cell>
          <cell r="AD137">
            <v>0.9</v>
          </cell>
          <cell r="AE137">
            <v>0.3</v>
          </cell>
          <cell r="AF137">
            <v>1.74</v>
          </cell>
        </row>
        <row r="138">
          <cell r="C138">
            <v>58.39</v>
          </cell>
          <cell r="D138">
            <v>70.31</v>
          </cell>
          <cell r="E138">
            <v>177.31</v>
          </cell>
          <cell r="F138">
            <v>124.21</v>
          </cell>
          <cell r="G138">
            <v>24.01</v>
          </cell>
          <cell r="H138">
            <v>119.92</v>
          </cell>
          <cell r="I138">
            <v>69.08</v>
          </cell>
          <cell r="J138">
            <v>69.08</v>
          </cell>
          <cell r="K138">
            <v>3.6</v>
          </cell>
          <cell r="L138">
            <v>3.6</v>
          </cell>
          <cell r="M138">
            <v>3.6</v>
          </cell>
          <cell r="N138">
            <v>3.6</v>
          </cell>
          <cell r="O138">
            <v>41.45</v>
          </cell>
          <cell r="P138">
            <v>33.700000000000003</v>
          </cell>
          <cell r="Q138">
            <v>32.68</v>
          </cell>
          <cell r="R138">
            <v>4.68</v>
          </cell>
          <cell r="S138">
            <v>4.68</v>
          </cell>
          <cell r="T138">
            <v>4.16</v>
          </cell>
          <cell r="U138">
            <v>4.16</v>
          </cell>
          <cell r="V138">
            <v>4.68</v>
          </cell>
          <cell r="W138">
            <v>3.3</v>
          </cell>
          <cell r="X138">
            <v>60</v>
          </cell>
          <cell r="Y138">
            <v>30.5</v>
          </cell>
          <cell r="Z138">
            <v>12</v>
          </cell>
          <cell r="AA138">
            <v>6.16</v>
          </cell>
          <cell r="AB138">
            <v>2.5</v>
          </cell>
          <cell r="AC138">
            <v>3</v>
          </cell>
          <cell r="AD138">
            <v>0.9</v>
          </cell>
          <cell r="AE138">
            <v>0.3</v>
          </cell>
          <cell r="AF138">
            <v>1.74</v>
          </cell>
        </row>
        <row r="139">
          <cell r="C139">
            <v>27.3</v>
          </cell>
          <cell r="D139">
            <v>70.31</v>
          </cell>
          <cell r="E139">
            <v>205.58</v>
          </cell>
          <cell r="F139">
            <v>124.21</v>
          </cell>
          <cell r="G139">
            <v>24.01</v>
          </cell>
          <cell r="H139">
            <v>119.92</v>
          </cell>
          <cell r="I139">
            <v>69.08</v>
          </cell>
          <cell r="J139">
            <v>69.08</v>
          </cell>
          <cell r="K139">
            <v>3.6</v>
          </cell>
          <cell r="L139">
            <v>3.6</v>
          </cell>
          <cell r="M139">
            <v>3.6</v>
          </cell>
          <cell r="N139">
            <v>3.6</v>
          </cell>
          <cell r="O139">
            <v>41.45</v>
          </cell>
          <cell r="P139">
            <v>33.700000000000003</v>
          </cell>
          <cell r="Q139">
            <v>32.68</v>
          </cell>
          <cell r="R139">
            <v>4.68</v>
          </cell>
          <cell r="S139">
            <v>4.68</v>
          </cell>
          <cell r="T139">
            <v>4.16</v>
          </cell>
          <cell r="U139">
            <v>4.16</v>
          </cell>
          <cell r="V139">
            <v>4.68</v>
          </cell>
          <cell r="W139">
            <v>3.3</v>
          </cell>
          <cell r="X139">
            <v>60</v>
          </cell>
          <cell r="Y139">
            <v>30.5</v>
          </cell>
          <cell r="Z139">
            <v>12</v>
          </cell>
          <cell r="AA139">
            <v>6.16</v>
          </cell>
          <cell r="AB139">
            <v>2.5</v>
          </cell>
          <cell r="AC139">
            <v>3</v>
          </cell>
          <cell r="AD139">
            <v>0.9</v>
          </cell>
          <cell r="AE139">
            <v>0.3</v>
          </cell>
          <cell r="AF139">
            <v>1.74</v>
          </cell>
        </row>
        <row r="140">
          <cell r="C140">
            <v>5.53</v>
          </cell>
          <cell r="D140">
            <v>70.31</v>
          </cell>
          <cell r="E140">
            <v>205.58</v>
          </cell>
          <cell r="F140">
            <v>124.21</v>
          </cell>
          <cell r="G140">
            <v>24.01</v>
          </cell>
          <cell r="H140">
            <v>119.92</v>
          </cell>
          <cell r="I140">
            <v>69.08</v>
          </cell>
          <cell r="J140">
            <v>69.08</v>
          </cell>
          <cell r="K140">
            <v>3.6</v>
          </cell>
          <cell r="L140">
            <v>3.6</v>
          </cell>
          <cell r="M140">
            <v>3.6</v>
          </cell>
          <cell r="N140">
            <v>3.6</v>
          </cell>
          <cell r="O140">
            <v>41.45</v>
          </cell>
          <cell r="P140">
            <v>33.700000000000003</v>
          </cell>
          <cell r="Q140">
            <v>32.68</v>
          </cell>
          <cell r="R140">
            <v>4.68</v>
          </cell>
          <cell r="S140">
            <v>4.68</v>
          </cell>
          <cell r="T140">
            <v>4.16</v>
          </cell>
          <cell r="U140">
            <v>4.16</v>
          </cell>
          <cell r="V140">
            <v>4.68</v>
          </cell>
          <cell r="W140">
            <v>3.3</v>
          </cell>
          <cell r="X140">
            <v>60</v>
          </cell>
          <cell r="Y140">
            <v>30.5</v>
          </cell>
          <cell r="Z140">
            <v>12</v>
          </cell>
          <cell r="AA140">
            <v>6.16</v>
          </cell>
          <cell r="AB140">
            <v>2.5</v>
          </cell>
          <cell r="AC140">
            <v>3</v>
          </cell>
          <cell r="AD140">
            <v>0.9</v>
          </cell>
          <cell r="AE140">
            <v>0.3</v>
          </cell>
          <cell r="AF140">
            <v>1.74</v>
          </cell>
        </row>
        <row r="141">
          <cell r="C141">
            <v>8.83</v>
          </cell>
          <cell r="D141">
            <v>70.31</v>
          </cell>
          <cell r="E141">
            <v>205.58</v>
          </cell>
          <cell r="F141">
            <v>124.21</v>
          </cell>
          <cell r="G141">
            <v>24.01</v>
          </cell>
          <cell r="H141">
            <v>119.92</v>
          </cell>
          <cell r="I141">
            <v>69.08</v>
          </cell>
          <cell r="J141">
            <v>69.08</v>
          </cell>
          <cell r="K141">
            <v>3.6</v>
          </cell>
          <cell r="L141">
            <v>3.6</v>
          </cell>
          <cell r="M141">
            <v>3.6</v>
          </cell>
          <cell r="N141">
            <v>3.6</v>
          </cell>
          <cell r="O141">
            <v>41.45</v>
          </cell>
          <cell r="P141">
            <v>33.700000000000003</v>
          </cell>
          <cell r="Q141">
            <v>32.68</v>
          </cell>
          <cell r="R141">
            <v>4.68</v>
          </cell>
          <cell r="S141">
            <v>4.68</v>
          </cell>
          <cell r="T141">
            <v>4.16</v>
          </cell>
          <cell r="U141">
            <v>4.16</v>
          </cell>
          <cell r="V141">
            <v>4.68</v>
          </cell>
          <cell r="W141">
            <v>3.3</v>
          </cell>
          <cell r="X141">
            <v>60</v>
          </cell>
          <cell r="Y141">
            <v>30.5</v>
          </cell>
          <cell r="Z141">
            <v>12</v>
          </cell>
          <cell r="AA141">
            <v>6.16</v>
          </cell>
          <cell r="AB141">
            <v>2.5</v>
          </cell>
          <cell r="AC141">
            <v>3</v>
          </cell>
          <cell r="AD141">
            <v>0.9</v>
          </cell>
          <cell r="AE141">
            <v>0.3</v>
          </cell>
          <cell r="AF141">
            <v>1.74</v>
          </cell>
        </row>
        <row r="142">
          <cell r="C142">
            <v>23.35</v>
          </cell>
          <cell r="D142">
            <v>70.31</v>
          </cell>
          <cell r="E142">
            <v>205.58</v>
          </cell>
          <cell r="F142">
            <v>124.21</v>
          </cell>
          <cell r="G142">
            <v>24.01</v>
          </cell>
          <cell r="H142">
            <v>119.92</v>
          </cell>
          <cell r="I142">
            <v>69.08</v>
          </cell>
          <cell r="J142">
            <v>69.08</v>
          </cell>
          <cell r="K142">
            <v>3.6</v>
          </cell>
          <cell r="L142">
            <v>3.6</v>
          </cell>
          <cell r="M142">
            <v>3.6</v>
          </cell>
          <cell r="N142">
            <v>3.6</v>
          </cell>
          <cell r="O142">
            <v>41.45</v>
          </cell>
          <cell r="P142">
            <v>17.27</v>
          </cell>
          <cell r="Q142">
            <v>32.68</v>
          </cell>
          <cell r="R142">
            <v>4.68</v>
          </cell>
          <cell r="S142">
            <v>4.68</v>
          </cell>
          <cell r="T142">
            <v>4.16</v>
          </cell>
          <cell r="U142">
            <v>4.16</v>
          </cell>
          <cell r="V142">
            <v>4.68</v>
          </cell>
          <cell r="W142">
            <v>3.3</v>
          </cell>
          <cell r="X142">
            <v>60</v>
          </cell>
          <cell r="Y142">
            <v>30.5</v>
          </cell>
          <cell r="Z142">
            <v>20.82</v>
          </cell>
          <cell r="AA142">
            <v>6.16</v>
          </cell>
          <cell r="AB142">
            <v>2.5</v>
          </cell>
          <cell r="AC142">
            <v>3</v>
          </cell>
          <cell r="AD142">
            <v>0.9</v>
          </cell>
          <cell r="AE142">
            <v>0.54</v>
          </cell>
          <cell r="AF142">
            <v>1.74</v>
          </cell>
        </row>
        <row r="143">
          <cell r="C143">
            <v>8.57</v>
          </cell>
          <cell r="D143">
            <v>70.31</v>
          </cell>
          <cell r="E143">
            <v>205.58</v>
          </cell>
          <cell r="F143">
            <v>124.21</v>
          </cell>
          <cell r="G143">
            <v>24.01</v>
          </cell>
          <cell r="H143">
            <v>119.92</v>
          </cell>
          <cell r="I143">
            <v>69.08</v>
          </cell>
          <cell r="J143">
            <v>69.08</v>
          </cell>
          <cell r="K143">
            <v>3.6</v>
          </cell>
          <cell r="L143">
            <v>3.6</v>
          </cell>
          <cell r="M143">
            <v>3.6</v>
          </cell>
          <cell r="N143">
            <v>3.6</v>
          </cell>
          <cell r="O143">
            <v>41.45</v>
          </cell>
          <cell r="P143">
            <v>33.700000000000003</v>
          </cell>
          <cell r="Q143">
            <v>32.68</v>
          </cell>
          <cell r="R143">
            <v>4.68</v>
          </cell>
          <cell r="S143">
            <v>4.68</v>
          </cell>
          <cell r="T143">
            <v>4.16</v>
          </cell>
          <cell r="U143">
            <v>4.16</v>
          </cell>
          <cell r="V143">
            <v>4.68</v>
          </cell>
          <cell r="W143">
            <v>3.3</v>
          </cell>
          <cell r="X143">
            <v>60</v>
          </cell>
          <cell r="Y143">
            <v>43.6</v>
          </cell>
          <cell r="Z143">
            <v>37.049999999999997</v>
          </cell>
          <cell r="AA143">
            <v>6.16</v>
          </cell>
          <cell r="AB143">
            <v>2.5</v>
          </cell>
          <cell r="AC143">
            <v>3</v>
          </cell>
          <cell r="AD143">
            <v>0.9</v>
          </cell>
          <cell r="AE143">
            <v>0.67</v>
          </cell>
          <cell r="AF143">
            <v>1.74</v>
          </cell>
        </row>
        <row r="144">
          <cell r="C144">
            <v>75.599999999999994</v>
          </cell>
          <cell r="D144">
            <v>70.31</v>
          </cell>
          <cell r="E144">
            <v>205.58</v>
          </cell>
          <cell r="F144">
            <v>124.21</v>
          </cell>
          <cell r="G144">
            <v>24.01</v>
          </cell>
          <cell r="H144">
            <v>119.92</v>
          </cell>
          <cell r="I144">
            <v>69.08</v>
          </cell>
          <cell r="J144">
            <v>69.08</v>
          </cell>
          <cell r="K144">
            <v>3.6</v>
          </cell>
          <cell r="L144">
            <v>3.6</v>
          </cell>
          <cell r="M144">
            <v>3.6</v>
          </cell>
          <cell r="N144">
            <v>3.6</v>
          </cell>
          <cell r="O144">
            <v>41.45</v>
          </cell>
          <cell r="P144">
            <v>33.700000000000003</v>
          </cell>
          <cell r="Q144">
            <v>32.68</v>
          </cell>
          <cell r="R144">
            <v>4.68</v>
          </cell>
          <cell r="S144">
            <v>4.68</v>
          </cell>
          <cell r="T144">
            <v>4.16</v>
          </cell>
          <cell r="U144">
            <v>4.16</v>
          </cell>
          <cell r="V144">
            <v>4.68</v>
          </cell>
          <cell r="W144">
            <v>3.3</v>
          </cell>
          <cell r="X144">
            <v>60</v>
          </cell>
          <cell r="Y144">
            <v>75.03</v>
          </cell>
          <cell r="Z144">
            <v>37.049999999999997</v>
          </cell>
          <cell r="AA144">
            <v>6.16</v>
          </cell>
          <cell r="AB144">
            <v>2.5</v>
          </cell>
          <cell r="AC144">
            <v>3</v>
          </cell>
          <cell r="AD144">
            <v>0.9</v>
          </cell>
          <cell r="AE144">
            <v>0.67</v>
          </cell>
          <cell r="AF144">
            <v>1.74</v>
          </cell>
        </row>
        <row r="145">
          <cell r="C145">
            <v>523.79999999999995</v>
          </cell>
          <cell r="D145">
            <v>70.31</v>
          </cell>
          <cell r="E145">
            <v>205.58</v>
          </cell>
          <cell r="F145">
            <v>124.21</v>
          </cell>
          <cell r="G145">
            <v>24.01</v>
          </cell>
          <cell r="H145">
            <v>119.92</v>
          </cell>
          <cell r="I145">
            <v>69.08</v>
          </cell>
          <cell r="J145">
            <v>69.08</v>
          </cell>
          <cell r="K145">
            <v>3.6</v>
          </cell>
          <cell r="L145">
            <v>3.6</v>
          </cell>
          <cell r="M145">
            <v>3.6</v>
          </cell>
          <cell r="N145">
            <v>3.6</v>
          </cell>
          <cell r="O145">
            <v>41.45</v>
          </cell>
          <cell r="P145">
            <v>33.700000000000003</v>
          </cell>
          <cell r="Q145">
            <v>32.68</v>
          </cell>
          <cell r="R145">
            <v>4.68</v>
          </cell>
          <cell r="S145">
            <v>4.68</v>
          </cell>
          <cell r="T145">
            <v>4.16</v>
          </cell>
          <cell r="U145">
            <v>4.16</v>
          </cell>
          <cell r="V145">
            <v>4.68</v>
          </cell>
          <cell r="W145">
            <v>3.3</v>
          </cell>
          <cell r="X145">
            <v>154.4</v>
          </cell>
          <cell r="Y145">
            <v>75.03</v>
          </cell>
          <cell r="Z145">
            <v>37.049999999999997</v>
          </cell>
          <cell r="AA145">
            <v>6.16</v>
          </cell>
          <cell r="AB145">
            <v>4.82</v>
          </cell>
          <cell r="AC145">
            <v>10.029999999999999</v>
          </cell>
          <cell r="AD145">
            <v>1.54</v>
          </cell>
          <cell r="AE145">
            <v>0.67</v>
          </cell>
          <cell r="AF145">
            <v>1.74</v>
          </cell>
        </row>
        <row r="146">
          <cell r="C146">
            <v>491.9</v>
          </cell>
          <cell r="D146">
            <v>70.31</v>
          </cell>
          <cell r="E146">
            <v>205.58</v>
          </cell>
          <cell r="F146">
            <v>124.21</v>
          </cell>
          <cell r="G146">
            <v>24.01</v>
          </cell>
          <cell r="H146">
            <v>119.92</v>
          </cell>
          <cell r="I146">
            <v>69.08</v>
          </cell>
          <cell r="J146">
            <v>69.08</v>
          </cell>
          <cell r="K146">
            <v>3.6</v>
          </cell>
          <cell r="L146">
            <v>3.6</v>
          </cell>
          <cell r="M146">
            <v>3.6</v>
          </cell>
          <cell r="N146">
            <v>3.6</v>
          </cell>
          <cell r="O146">
            <v>41.45</v>
          </cell>
          <cell r="P146">
            <v>33.700000000000003</v>
          </cell>
          <cell r="Q146">
            <v>32.68</v>
          </cell>
          <cell r="R146">
            <v>4.68</v>
          </cell>
          <cell r="S146">
            <v>4.68</v>
          </cell>
          <cell r="T146">
            <v>4.16</v>
          </cell>
          <cell r="U146">
            <v>4.16</v>
          </cell>
          <cell r="V146">
            <v>4.68</v>
          </cell>
          <cell r="W146">
            <v>3.3</v>
          </cell>
          <cell r="X146">
            <v>154.4</v>
          </cell>
          <cell r="Y146">
            <v>75.03</v>
          </cell>
          <cell r="Z146">
            <v>37.049999999999997</v>
          </cell>
          <cell r="AA146">
            <v>6.16</v>
          </cell>
          <cell r="AB146">
            <v>4.82</v>
          </cell>
          <cell r="AC146">
            <v>10.029999999999999</v>
          </cell>
          <cell r="AD146">
            <v>1.24</v>
          </cell>
          <cell r="AE146">
            <v>0.67</v>
          </cell>
          <cell r="AF146">
            <v>1.74</v>
          </cell>
        </row>
        <row r="147">
          <cell r="C147">
            <v>487.82</v>
          </cell>
          <cell r="D147">
            <v>70.31</v>
          </cell>
          <cell r="E147">
            <v>205.58</v>
          </cell>
          <cell r="F147">
            <v>124.21</v>
          </cell>
          <cell r="G147">
            <v>24.01</v>
          </cell>
          <cell r="H147">
            <v>119.92</v>
          </cell>
          <cell r="I147">
            <v>69.08</v>
          </cell>
          <cell r="J147">
            <v>69.08</v>
          </cell>
          <cell r="K147">
            <v>3.6</v>
          </cell>
          <cell r="L147">
            <v>3.6</v>
          </cell>
          <cell r="M147">
            <v>3.6</v>
          </cell>
          <cell r="N147">
            <v>3.6</v>
          </cell>
          <cell r="O147">
            <v>41.45</v>
          </cell>
          <cell r="P147">
            <v>33.700000000000003</v>
          </cell>
          <cell r="Q147">
            <v>32.68</v>
          </cell>
          <cell r="R147">
            <v>4.68</v>
          </cell>
          <cell r="S147">
            <v>4.68</v>
          </cell>
          <cell r="T147">
            <v>4.16</v>
          </cell>
          <cell r="U147">
            <v>4.16</v>
          </cell>
          <cell r="V147">
            <v>4.68</v>
          </cell>
          <cell r="W147">
            <v>3.3</v>
          </cell>
          <cell r="X147">
            <v>98.95</v>
          </cell>
          <cell r="Y147">
            <v>75.03</v>
          </cell>
          <cell r="Z147">
            <v>37.049999999999997</v>
          </cell>
          <cell r="AA147">
            <v>6.16</v>
          </cell>
          <cell r="AB147">
            <v>4.82</v>
          </cell>
          <cell r="AC147">
            <v>10.029999999999999</v>
          </cell>
          <cell r="AD147">
            <v>0.9</v>
          </cell>
          <cell r="AE147">
            <v>0.67</v>
          </cell>
          <cell r="AF147">
            <v>1.74</v>
          </cell>
        </row>
        <row r="148">
          <cell r="C148">
            <v>353.77</v>
          </cell>
          <cell r="D148">
            <v>70.31</v>
          </cell>
          <cell r="E148">
            <v>205.58</v>
          </cell>
          <cell r="F148">
            <v>124.21</v>
          </cell>
          <cell r="G148">
            <v>24.01</v>
          </cell>
          <cell r="H148">
            <v>119.92</v>
          </cell>
          <cell r="I148">
            <v>69.08</v>
          </cell>
          <cell r="J148">
            <v>69.08</v>
          </cell>
          <cell r="K148">
            <v>3.6</v>
          </cell>
          <cell r="L148">
            <v>3.6</v>
          </cell>
          <cell r="M148">
            <v>3.6</v>
          </cell>
          <cell r="N148">
            <v>3.6</v>
          </cell>
          <cell r="O148">
            <v>41.45</v>
          </cell>
          <cell r="P148">
            <v>33.700000000000003</v>
          </cell>
          <cell r="Q148">
            <v>32.68</v>
          </cell>
          <cell r="R148">
            <v>4.68</v>
          </cell>
          <cell r="S148">
            <v>4.68</v>
          </cell>
          <cell r="T148">
            <v>4.16</v>
          </cell>
          <cell r="U148">
            <v>4.16</v>
          </cell>
          <cell r="V148">
            <v>4.68</v>
          </cell>
          <cell r="W148">
            <v>3.3</v>
          </cell>
          <cell r="X148">
            <v>60</v>
          </cell>
          <cell r="Y148">
            <v>75.03</v>
          </cell>
          <cell r="Z148">
            <v>37.049999999999997</v>
          </cell>
          <cell r="AA148">
            <v>6.16</v>
          </cell>
          <cell r="AB148">
            <v>3.28</v>
          </cell>
          <cell r="AC148">
            <v>6.68</v>
          </cell>
          <cell r="AD148">
            <v>0.9</v>
          </cell>
          <cell r="AE148">
            <v>0.67</v>
          </cell>
          <cell r="AF148">
            <v>1.74</v>
          </cell>
        </row>
        <row r="149">
          <cell r="C149">
            <v>478.92</v>
          </cell>
          <cell r="D149">
            <v>70.31</v>
          </cell>
          <cell r="E149">
            <v>0</v>
          </cell>
          <cell r="F149">
            <v>124.21</v>
          </cell>
          <cell r="G149">
            <v>0</v>
          </cell>
          <cell r="H149">
            <v>119.92</v>
          </cell>
          <cell r="I149">
            <v>69.08</v>
          </cell>
          <cell r="J149">
            <v>69.08</v>
          </cell>
          <cell r="K149">
            <v>3.6</v>
          </cell>
          <cell r="L149">
            <v>3.6</v>
          </cell>
          <cell r="M149">
            <v>3.6</v>
          </cell>
          <cell r="N149">
            <v>3.6</v>
          </cell>
          <cell r="O149">
            <v>41.45</v>
          </cell>
          <cell r="P149">
            <v>33.700000000000003</v>
          </cell>
          <cell r="Q149">
            <v>32.68</v>
          </cell>
          <cell r="R149">
            <v>4.68</v>
          </cell>
          <cell r="S149">
            <v>4.68</v>
          </cell>
          <cell r="T149">
            <v>4.16</v>
          </cell>
          <cell r="U149">
            <v>4.16</v>
          </cell>
          <cell r="V149">
            <v>4.68</v>
          </cell>
          <cell r="W149">
            <v>3.3</v>
          </cell>
          <cell r="X149">
            <v>60</v>
          </cell>
          <cell r="Y149">
            <v>30.5</v>
          </cell>
          <cell r="Z149">
            <v>12</v>
          </cell>
          <cell r="AA149">
            <v>6.16</v>
          </cell>
          <cell r="AB149">
            <v>2.5</v>
          </cell>
          <cell r="AC149">
            <v>3</v>
          </cell>
          <cell r="AD149">
            <v>0.9</v>
          </cell>
          <cell r="AE149">
            <v>0.3</v>
          </cell>
          <cell r="AF149">
            <v>0.9</v>
          </cell>
        </row>
        <row r="150">
          <cell r="C150">
            <v>375.05</v>
          </cell>
          <cell r="D150">
            <v>70.31</v>
          </cell>
          <cell r="E150">
            <v>0</v>
          </cell>
          <cell r="F150">
            <v>124.21</v>
          </cell>
          <cell r="G150">
            <v>0</v>
          </cell>
          <cell r="H150">
            <v>119.92</v>
          </cell>
          <cell r="I150">
            <v>69.08</v>
          </cell>
          <cell r="J150">
            <v>69.08</v>
          </cell>
          <cell r="K150">
            <v>3.6</v>
          </cell>
          <cell r="L150">
            <v>3.6</v>
          </cell>
          <cell r="M150">
            <v>3.6</v>
          </cell>
          <cell r="N150">
            <v>3.6</v>
          </cell>
          <cell r="O150">
            <v>41.45</v>
          </cell>
          <cell r="P150">
            <v>0</v>
          </cell>
          <cell r="Q150">
            <v>32.68</v>
          </cell>
          <cell r="R150">
            <v>4.68</v>
          </cell>
          <cell r="S150">
            <v>4.68</v>
          </cell>
          <cell r="T150">
            <v>4.16</v>
          </cell>
          <cell r="U150">
            <v>4.16</v>
          </cell>
          <cell r="V150">
            <v>4.68</v>
          </cell>
          <cell r="W150">
            <v>3.3</v>
          </cell>
          <cell r="X150">
            <v>60</v>
          </cell>
          <cell r="Y150">
            <v>30.5</v>
          </cell>
          <cell r="Z150">
            <v>12</v>
          </cell>
          <cell r="AA150">
            <v>4</v>
          </cell>
          <cell r="AB150">
            <v>2.5</v>
          </cell>
          <cell r="AC150">
            <v>3</v>
          </cell>
          <cell r="AD150">
            <v>0.9</v>
          </cell>
          <cell r="AE150">
            <v>0.3</v>
          </cell>
          <cell r="AF150">
            <v>0.9</v>
          </cell>
        </row>
        <row r="152">
          <cell r="C152">
            <v>5502.21</v>
          </cell>
          <cell r="D152">
            <v>1291.69</v>
          </cell>
          <cell r="E152">
            <v>2473.08</v>
          </cell>
          <cell r="F152">
            <v>2981.12</v>
          </cell>
          <cell r="G152">
            <v>312.10000000000002</v>
          </cell>
          <cell r="H152">
            <v>2878.19</v>
          </cell>
          <cell r="I152">
            <v>1657.88</v>
          </cell>
          <cell r="J152">
            <v>1657.88</v>
          </cell>
          <cell r="K152">
            <v>86.39</v>
          </cell>
          <cell r="L152">
            <v>86.39</v>
          </cell>
          <cell r="M152">
            <v>86.39</v>
          </cell>
          <cell r="N152">
            <v>86.39</v>
          </cell>
          <cell r="O152">
            <v>994.75</v>
          </cell>
          <cell r="P152">
            <v>489.08</v>
          </cell>
          <cell r="Q152">
            <v>784.37</v>
          </cell>
          <cell r="R152">
            <v>112.37</v>
          </cell>
          <cell r="S152">
            <v>112.37</v>
          </cell>
          <cell r="T152">
            <v>99.93</v>
          </cell>
          <cell r="U152">
            <v>99.93</v>
          </cell>
          <cell r="V152">
            <v>112.37</v>
          </cell>
          <cell r="W152">
            <v>79.2</v>
          </cell>
          <cell r="X152">
            <v>1667.74</v>
          </cell>
          <cell r="Y152">
            <v>967.74</v>
          </cell>
          <cell r="Z152">
            <v>447.1</v>
          </cell>
          <cell r="AA152">
            <v>129.03</v>
          </cell>
          <cell r="AB152">
            <v>67.739999999999995</v>
          </cell>
          <cell r="AC152">
            <v>96.77</v>
          </cell>
          <cell r="AD152">
            <v>22.58</v>
          </cell>
          <cell r="AE152">
            <v>9.68</v>
          </cell>
          <cell r="AF152">
            <v>32.26</v>
          </cell>
        </row>
        <row r="154">
          <cell r="C154">
            <v>2E-3</v>
          </cell>
          <cell r="D154">
            <v>2E-3</v>
          </cell>
          <cell r="E154">
            <v>2E-3</v>
          </cell>
          <cell r="F154">
            <v>2.5700000000000001E-2</v>
          </cell>
          <cell r="G154">
            <v>3.32E-2</v>
          </cell>
          <cell r="H154">
            <v>2.75E-2</v>
          </cell>
          <cell r="I154">
            <v>2.7799999999999998E-2</v>
          </cell>
          <cell r="J154">
            <v>2.81E-2</v>
          </cell>
          <cell r="K154">
            <v>3.2000000000000001E-2</v>
          </cell>
          <cell r="L154">
            <v>3.2199999999999999E-2</v>
          </cell>
          <cell r="M154">
            <v>3.2199999999999999E-2</v>
          </cell>
          <cell r="N154">
            <v>3.2199999999999999E-2</v>
          </cell>
          <cell r="O154">
            <v>3.9E-2</v>
          </cell>
          <cell r="P154">
            <v>3.95E-2</v>
          </cell>
          <cell r="Q154">
            <v>3.4299999999999997E-2</v>
          </cell>
          <cell r="R154">
            <v>3.7100000000000001E-2</v>
          </cell>
          <cell r="S154">
            <v>3.7100000000000001E-2</v>
          </cell>
          <cell r="T154">
            <v>3.7100000000000001E-2</v>
          </cell>
          <cell r="U154">
            <v>3.7100000000000001E-2</v>
          </cell>
          <cell r="V154">
            <v>3.7100000000000001E-2</v>
          </cell>
          <cell r="W154">
            <v>3.7100000000000001E-2</v>
          </cell>
          <cell r="X154">
            <v>2E-3</v>
          </cell>
          <cell r="Y154">
            <v>2E-3</v>
          </cell>
          <cell r="Z154">
            <v>2E-3</v>
          </cell>
          <cell r="AA154">
            <v>2E-3</v>
          </cell>
          <cell r="AB154">
            <v>2E-3</v>
          </cell>
          <cell r="AC154">
            <v>2E-3</v>
          </cell>
          <cell r="AD154">
            <v>2E-3</v>
          </cell>
          <cell r="AE154">
            <v>2E-3</v>
          </cell>
          <cell r="AF154">
            <v>2E-3</v>
          </cell>
        </row>
        <row r="165">
          <cell r="C165" t="str">
            <v xml:space="preserve">H-PAUTE </v>
          </cell>
          <cell r="D165" t="str">
            <v>H-PUCARA</v>
          </cell>
          <cell r="E165" t="str">
            <v>H-NACION</v>
          </cell>
          <cell r="F165" t="str">
            <v>E-TRINIT</v>
          </cell>
          <cell r="G165" t="str">
            <v>IN-COLOM</v>
          </cell>
          <cell r="H165" t="str">
            <v xml:space="preserve">T-ESMER </v>
          </cell>
          <cell r="I165" t="str">
            <v>E.GZ.TV3</v>
          </cell>
          <cell r="J165" t="str">
            <v>E.GZ.TV2</v>
          </cell>
          <cell r="K165" t="str">
            <v>CSURDES1</v>
          </cell>
          <cell r="L165" t="str">
            <v>CSURDES2</v>
          </cell>
          <cell r="M165" t="str">
            <v>CSURDES3</v>
          </cell>
          <cell r="N165" t="str">
            <v>CSURDES4</v>
          </cell>
          <cell r="O165" t="str">
            <v xml:space="preserve">EQL3-U3 </v>
          </cell>
          <cell r="P165" t="str">
            <v>ELEC-AT1</v>
          </cell>
          <cell r="Q165" t="str">
            <v xml:space="preserve">EQL3-U4 </v>
          </cell>
          <cell r="R165" t="str">
            <v>E.VASANT</v>
          </cell>
          <cell r="S165" t="str">
            <v xml:space="preserve">EQL2-U2 </v>
          </cell>
          <cell r="T165" t="str">
            <v xml:space="preserve">SUR-CA6 </v>
          </cell>
          <cell r="U165" t="str">
            <v xml:space="preserve">EQL2-U1 </v>
          </cell>
          <cell r="V165" t="str">
            <v>TPGUANG2</v>
          </cell>
          <cell r="W165" t="str">
            <v>TPGUANG3</v>
          </cell>
          <cell r="X165" t="str">
            <v>TPGUANG4</v>
          </cell>
          <cell r="Y165" t="str">
            <v>TPGUANG5</v>
          </cell>
          <cell r="Z165" t="str">
            <v>TPGUANG6</v>
          </cell>
          <cell r="AA165" t="str">
            <v>G.HERNA1</v>
          </cell>
          <cell r="AB165" t="str">
            <v>G.HERNA2</v>
          </cell>
          <cell r="AC165" t="str">
            <v>G.HERNA3</v>
          </cell>
          <cell r="AD165" t="str">
            <v>G.HERNA4</v>
          </cell>
          <cell r="AE165" t="str">
            <v>G.HERNA5</v>
          </cell>
          <cell r="AF165" t="str">
            <v>G.HERNA6</v>
          </cell>
          <cell r="AG165" t="str">
            <v>AGOYAN_H</v>
          </cell>
          <cell r="AH165" t="str">
            <v>EEQ_HIDR</v>
          </cell>
          <cell r="AI165" t="str">
            <v xml:space="preserve">C-SUR_H </v>
          </cell>
          <cell r="AJ165" t="str">
            <v>RIOBAM_H</v>
          </cell>
          <cell r="AK165" t="str">
            <v>COTOPX_H</v>
          </cell>
          <cell r="AL165" t="str">
            <v>RNORTE_H</v>
          </cell>
          <cell r="AM165" t="str">
            <v>AMBATO_H</v>
          </cell>
          <cell r="AN165" t="str">
            <v>BOLIVR_H</v>
          </cell>
          <cell r="AO165" t="str">
            <v xml:space="preserve">R-SUR_H </v>
          </cell>
        </row>
        <row r="167">
          <cell r="C167">
            <v>260.95</v>
          </cell>
          <cell r="D167">
            <v>0</v>
          </cell>
          <cell r="E167">
            <v>0</v>
          </cell>
          <cell r="F167">
            <v>124.21</v>
          </cell>
          <cell r="G167">
            <v>0</v>
          </cell>
          <cell r="H167">
            <v>119.92</v>
          </cell>
          <cell r="I167">
            <v>69.08</v>
          </cell>
          <cell r="J167">
            <v>69.08</v>
          </cell>
          <cell r="K167">
            <v>3.6</v>
          </cell>
          <cell r="L167">
            <v>3.6</v>
          </cell>
          <cell r="M167">
            <v>3.6</v>
          </cell>
          <cell r="N167">
            <v>3.6</v>
          </cell>
          <cell r="O167">
            <v>41.45</v>
          </cell>
          <cell r="P167">
            <v>33.700000000000003</v>
          </cell>
          <cell r="Q167">
            <v>41.45</v>
          </cell>
          <cell r="R167">
            <v>32.68</v>
          </cell>
          <cell r="S167">
            <v>36.840000000000003</v>
          </cell>
          <cell r="T167">
            <v>0</v>
          </cell>
          <cell r="U167">
            <v>0</v>
          </cell>
          <cell r="V167">
            <v>4.68</v>
          </cell>
          <cell r="W167">
            <v>4.68</v>
          </cell>
          <cell r="X167">
            <v>4.68</v>
          </cell>
          <cell r="Y167">
            <v>4.16</v>
          </cell>
          <cell r="Z167">
            <v>4.68</v>
          </cell>
          <cell r="AA167">
            <v>5.04</v>
          </cell>
          <cell r="AB167">
            <v>5.04</v>
          </cell>
          <cell r="AC167">
            <v>5.04</v>
          </cell>
          <cell r="AD167">
            <v>5.04</v>
          </cell>
          <cell r="AE167">
            <v>5.04</v>
          </cell>
          <cell r="AF167">
            <v>5.04</v>
          </cell>
          <cell r="AG167">
            <v>60</v>
          </cell>
          <cell r="AH167">
            <v>30.5</v>
          </cell>
          <cell r="AI167">
            <v>12</v>
          </cell>
          <cell r="AJ167">
            <v>4</v>
          </cell>
          <cell r="AK167">
            <v>2.5</v>
          </cell>
          <cell r="AL167">
            <v>3</v>
          </cell>
          <cell r="AM167">
            <v>1.1000000000000001</v>
          </cell>
          <cell r="AN167">
            <v>0.4</v>
          </cell>
          <cell r="AO167">
            <v>0.9</v>
          </cell>
        </row>
        <row r="168">
          <cell r="C168">
            <v>227.44</v>
          </cell>
          <cell r="D168">
            <v>0</v>
          </cell>
          <cell r="E168">
            <v>0</v>
          </cell>
          <cell r="F168">
            <v>124.21</v>
          </cell>
          <cell r="G168">
            <v>0</v>
          </cell>
          <cell r="H168">
            <v>119.92</v>
          </cell>
          <cell r="I168">
            <v>69.08</v>
          </cell>
          <cell r="J168">
            <v>69.08</v>
          </cell>
          <cell r="K168">
            <v>3.6</v>
          </cell>
          <cell r="L168">
            <v>3.6</v>
          </cell>
          <cell r="M168">
            <v>3.6</v>
          </cell>
          <cell r="N168">
            <v>3.6</v>
          </cell>
          <cell r="O168">
            <v>41.45</v>
          </cell>
          <cell r="P168">
            <v>33.700000000000003</v>
          </cell>
          <cell r="Q168">
            <v>41.45</v>
          </cell>
          <cell r="R168">
            <v>32.68</v>
          </cell>
          <cell r="S168">
            <v>36.840000000000003</v>
          </cell>
          <cell r="T168">
            <v>0</v>
          </cell>
          <cell r="U168">
            <v>0</v>
          </cell>
          <cell r="V168">
            <v>4.68</v>
          </cell>
          <cell r="W168">
            <v>4.68</v>
          </cell>
          <cell r="X168">
            <v>4.68</v>
          </cell>
          <cell r="Y168">
            <v>4.16</v>
          </cell>
          <cell r="Z168">
            <v>4.68</v>
          </cell>
          <cell r="AA168">
            <v>5.04</v>
          </cell>
          <cell r="AB168">
            <v>5.04</v>
          </cell>
          <cell r="AC168">
            <v>5.04</v>
          </cell>
          <cell r="AD168">
            <v>5.04</v>
          </cell>
          <cell r="AE168">
            <v>5.04</v>
          </cell>
          <cell r="AF168">
            <v>5.04</v>
          </cell>
          <cell r="AG168">
            <v>60</v>
          </cell>
          <cell r="AH168">
            <v>30.5</v>
          </cell>
          <cell r="AI168">
            <v>12</v>
          </cell>
          <cell r="AJ168">
            <v>4</v>
          </cell>
          <cell r="AK168">
            <v>2.5</v>
          </cell>
          <cell r="AL168">
            <v>3</v>
          </cell>
          <cell r="AM168">
            <v>1.1000000000000001</v>
          </cell>
          <cell r="AN168">
            <v>0.4</v>
          </cell>
          <cell r="AO168">
            <v>0.9</v>
          </cell>
        </row>
        <row r="169">
          <cell r="C169">
            <v>194.62</v>
          </cell>
          <cell r="D169">
            <v>0</v>
          </cell>
          <cell r="E169">
            <v>0</v>
          </cell>
          <cell r="F169">
            <v>124.21</v>
          </cell>
          <cell r="G169">
            <v>0</v>
          </cell>
          <cell r="H169">
            <v>119.92</v>
          </cell>
          <cell r="I169">
            <v>69.08</v>
          </cell>
          <cell r="J169">
            <v>69.08</v>
          </cell>
          <cell r="K169">
            <v>3.6</v>
          </cell>
          <cell r="L169">
            <v>3.6</v>
          </cell>
          <cell r="M169">
            <v>3.6</v>
          </cell>
          <cell r="N169">
            <v>3.6</v>
          </cell>
          <cell r="O169">
            <v>41.45</v>
          </cell>
          <cell r="P169">
            <v>33.700000000000003</v>
          </cell>
          <cell r="Q169">
            <v>41.45</v>
          </cell>
          <cell r="R169">
            <v>32.68</v>
          </cell>
          <cell r="S169">
            <v>36.840000000000003</v>
          </cell>
          <cell r="T169">
            <v>0</v>
          </cell>
          <cell r="U169">
            <v>0</v>
          </cell>
          <cell r="V169">
            <v>4.68</v>
          </cell>
          <cell r="W169">
            <v>4.68</v>
          </cell>
          <cell r="X169">
            <v>4.68</v>
          </cell>
          <cell r="Y169">
            <v>4.16</v>
          </cell>
          <cell r="Z169">
            <v>4.68</v>
          </cell>
          <cell r="AA169">
            <v>5.04</v>
          </cell>
          <cell r="AB169">
            <v>5.04</v>
          </cell>
          <cell r="AC169">
            <v>5.04</v>
          </cell>
          <cell r="AD169">
            <v>5.04</v>
          </cell>
          <cell r="AE169">
            <v>5.04</v>
          </cell>
          <cell r="AF169">
            <v>5.04</v>
          </cell>
          <cell r="AG169">
            <v>60</v>
          </cell>
          <cell r="AH169">
            <v>30.5</v>
          </cell>
          <cell r="AI169">
            <v>12</v>
          </cell>
          <cell r="AJ169">
            <v>4</v>
          </cell>
          <cell r="AK169">
            <v>2.5</v>
          </cell>
          <cell r="AL169">
            <v>3</v>
          </cell>
          <cell r="AM169">
            <v>1.1000000000000001</v>
          </cell>
          <cell r="AN169">
            <v>0.4</v>
          </cell>
          <cell r="AO169">
            <v>0.9</v>
          </cell>
        </row>
        <row r="170">
          <cell r="C170">
            <v>205.94</v>
          </cell>
          <cell r="D170">
            <v>0</v>
          </cell>
          <cell r="E170">
            <v>0</v>
          </cell>
          <cell r="F170">
            <v>124.21</v>
          </cell>
          <cell r="G170">
            <v>0</v>
          </cell>
          <cell r="H170">
            <v>119.92</v>
          </cell>
          <cell r="I170">
            <v>69.08</v>
          </cell>
          <cell r="J170">
            <v>69.08</v>
          </cell>
          <cell r="K170">
            <v>3.6</v>
          </cell>
          <cell r="L170">
            <v>3.6</v>
          </cell>
          <cell r="M170">
            <v>3.6</v>
          </cell>
          <cell r="N170">
            <v>3.6</v>
          </cell>
          <cell r="O170">
            <v>41.45</v>
          </cell>
          <cell r="P170">
            <v>33.700000000000003</v>
          </cell>
          <cell r="Q170">
            <v>41.45</v>
          </cell>
          <cell r="R170">
            <v>32.68</v>
          </cell>
          <cell r="S170">
            <v>36.840000000000003</v>
          </cell>
          <cell r="T170">
            <v>0</v>
          </cell>
          <cell r="U170">
            <v>0</v>
          </cell>
          <cell r="V170">
            <v>4.68</v>
          </cell>
          <cell r="W170">
            <v>4.68</v>
          </cell>
          <cell r="X170">
            <v>4.68</v>
          </cell>
          <cell r="Y170">
            <v>4.16</v>
          </cell>
          <cell r="Z170">
            <v>4.68</v>
          </cell>
          <cell r="AA170">
            <v>5.04</v>
          </cell>
          <cell r="AB170">
            <v>5.04</v>
          </cell>
          <cell r="AC170">
            <v>5.04</v>
          </cell>
          <cell r="AD170">
            <v>5.04</v>
          </cell>
          <cell r="AE170">
            <v>5.04</v>
          </cell>
          <cell r="AF170">
            <v>5.04</v>
          </cell>
          <cell r="AG170">
            <v>60</v>
          </cell>
          <cell r="AH170">
            <v>30.5</v>
          </cell>
          <cell r="AI170">
            <v>12</v>
          </cell>
          <cell r="AJ170">
            <v>4</v>
          </cell>
          <cell r="AK170">
            <v>2.5</v>
          </cell>
          <cell r="AL170">
            <v>3</v>
          </cell>
          <cell r="AM170">
            <v>1.1000000000000001</v>
          </cell>
          <cell r="AN170">
            <v>0.4</v>
          </cell>
          <cell r="AO170">
            <v>1.3</v>
          </cell>
        </row>
        <row r="171">
          <cell r="C171">
            <v>217.24</v>
          </cell>
          <cell r="D171">
            <v>0</v>
          </cell>
          <cell r="E171">
            <v>0</v>
          </cell>
          <cell r="F171">
            <v>124.21</v>
          </cell>
          <cell r="G171">
            <v>0</v>
          </cell>
          <cell r="H171">
            <v>119.92</v>
          </cell>
          <cell r="I171">
            <v>69.08</v>
          </cell>
          <cell r="J171">
            <v>69.08</v>
          </cell>
          <cell r="K171">
            <v>3.6</v>
          </cell>
          <cell r="L171">
            <v>3.6</v>
          </cell>
          <cell r="M171">
            <v>3.6</v>
          </cell>
          <cell r="N171">
            <v>3.6</v>
          </cell>
          <cell r="O171">
            <v>41.45</v>
          </cell>
          <cell r="P171">
            <v>33.700000000000003</v>
          </cell>
          <cell r="Q171">
            <v>41.45</v>
          </cell>
          <cell r="R171">
            <v>32.68</v>
          </cell>
          <cell r="S171">
            <v>36.840000000000003</v>
          </cell>
          <cell r="T171">
            <v>0</v>
          </cell>
          <cell r="U171">
            <v>0</v>
          </cell>
          <cell r="V171">
            <v>4.68</v>
          </cell>
          <cell r="W171">
            <v>4.68</v>
          </cell>
          <cell r="X171">
            <v>4.68</v>
          </cell>
          <cell r="Y171">
            <v>4.16</v>
          </cell>
          <cell r="Z171">
            <v>4.68</v>
          </cell>
          <cell r="AA171">
            <v>5.04</v>
          </cell>
          <cell r="AB171">
            <v>5.04</v>
          </cell>
          <cell r="AC171">
            <v>5.04</v>
          </cell>
          <cell r="AD171">
            <v>5.04</v>
          </cell>
          <cell r="AE171">
            <v>5.04</v>
          </cell>
          <cell r="AF171">
            <v>5.04</v>
          </cell>
          <cell r="AG171">
            <v>60</v>
          </cell>
          <cell r="AH171">
            <v>30.5</v>
          </cell>
          <cell r="AI171">
            <v>12</v>
          </cell>
          <cell r="AJ171">
            <v>4</v>
          </cell>
          <cell r="AK171">
            <v>2.5</v>
          </cell>
          <cell r="AL171">
            <v>3</v>
          </cell>
          <cell r="AM171">
            <v>1.1000000000000001</v>
          </cell>
          <cell r="AN171">
            <v>0.4</v>
          </cell>
          <cell r="AO171">
            <v>1.74</v>
          </cell>
        </row>
        <row r="172">
          <cell r="C172">
            <v>343.47</v>
          </cell>
          <cell r="D172">
            <v>0</v>
          </cell>
          <cell r="E172">
            <v>0</v>
          </cell>
          <cell r="F172">
            <v>124.21</v>
          </cell>
          <cell r="G172">
            <v>0</v>
          </cell>
          <cell r="H172">
            <v>119.92</v>
          </cell>
          <cell r="I172">
            <v>69.08</v>
          </cell>
          <cell r="J172">
            <v>69.08</v>
          </cell>
          <cell r="K172">
            <v>3.6</v>
          </cell>
          <cell r="L172">
            <v>3.6</v>
          </cell>
          <cell r="M172">
            <v>3.6</v>
          </cell>
          <cell r="N172">
            <v>3.6</v>
          </cell>
          <cell r="O172">
            <v>41.45</v>
          </cell>
          <cell r="P172">
            <v>33.700000000000003</v>
          </cell>
          <cell r="Q172">
            <v>41.45</v>
          </cell>
          <cell r="R172">
            <v>32.68</v>
          </cell>
          <cell r="S172">
            <v>36.840000000000003</v>
          </cell>
          <cell r="T172">
            <v>0</v>
          </cell>
          <cell r="U172">
            <v>0</v>
          </cell>
          <cell r="V172">
            <v>4.68</v>
          </cell>
          <cell r="W172">
            <v>4.68</v>
          </cell>
          <cell r="X172">
            <v>4.68</v>
          </cell>
          <cell r="Y172">
            <v>4.16</v>
          </cell>
          <cell r="Z172">
            <v>4.68</v>
          </cell>
          <cell r="AA172">
            <v>5.04</v>
          </cell>
          <cell r="AB172">
            <v>5.04</v>
          </cell>
          <cell r="AC172">
            <v>5.04</v>
          </cell>
          <cell r="AD172">
            <v>5.04</v>
          </cell>
          <cell r="AE172">
            <v>5.04</v>
          </cell>
          <cell r="AF172">
            <v>5.04</v>
          </cell>
          <cell r="AG172">
            <v>60</v>
          </cell>
          <cell r="AH172">
            <v>30.5</v>
          </cell>
          <cell r="AI172">
            <v>12</v>
          </cell>
          <cell r="AJ172">
            <v>4</v>
          </cell>
          <cell r="AK172">
            <v>2.5</v>
          </cell>
          <cell r="AL172">
            <v>3</v>
          </cell>
          <cell r="AM172">
            <v>1.1000000000000001</v>
          </cell>
          <cell r="AN172">
            <v>0.4</v>
          </cell>
          <cell r="AO172">
            <v>1.74</v>
          </cell>
        </row>
        <row r="173">
          <cell r="C173">
            <v>391.32</v>
          </cell>
          <cell r="D173">
            <v>0</v>
          </cell>
          <cell r="E173">
            <v>0</v>
          </cell>
          <cell r="F173">
            <v>124.21</v>
          </cell>
          <cell r="G173">
            <v>0</v>
          </cell>
          <cell r="H173">
            <v>119.92</v>
          </cell>
          <cell r="I173">
            <v>69.08</v>
          </cell>
          <cell r="J173">
            <v>69.08</v>
          </cell>
          <cell r="K173">
            <v>3.6</v>
          </cell>
          <cell r="L173">
            <v>3.6</v>
          </cell>
          <cell r="M173">
            <v>3.6</v>
          </cell>
          <cell r="N173">
            <v>3.6</v>
          </cell>
          <cell r="O173">
            <v>41.45</v>
          </cell>
          <cell r="P173">
            <v>33.700000000000003</v>
          </cell>
          <cell r="Q173">
            <v>41.45</v>
          </cell>
          <cell r="R173">
            <v>32.68</v>
          </cell>
          <cell r="S173">
            <v>36.840000000000003</v>
          </cell>
          <cell r="T173">
            <v>0</v>
          </cell>
          <cell r="U173">
            <v>0</v>
          </cell>
          <cell r="V173">
            <v>4.68</v>
          </cell>
          <cell r="W173">
            <v>4.68</v>
          </cell>
          <cell r="X173">
            <v>4.68</v>
          </cell>
          <cell r="Y173">
            <v>4.16</v>
          </cell>
          <cell r="Z173">
            <v>4.68</v>
          </cell>
          <cell r="AA173">
            <v>5.04</v>
          </cell>
          <cell r="AB173">
            <v>5.04</v>
          </cell>
          <cell r="AC173">
            <v>5.04</v>
          </cell>
          <cell r="AD173">
            <v>5.04</v>
          </cell>
          <cell r="AE173">
            <v>5.04</v>
          </cell>
          <cell r="AF173">
            <v>5.04</v>
          </cell>
          <cell r="AG173">
            <v>60</v>
          </cell>
          <cell r="AH173">
            <v>30.5</v>
          </cell>
          <cell r="AI173">
            <v>12</v>
          </cell>
          <cell r="AJ173">
            <v>4</v>
          </cell>
          <cell r="AK173">
            <v>2.5</v>
          </cell>
          <cell r="AL173">
            <v>3</v>
          </cell>
          <cell r="AM173">
            <v>1.1000000000000001</v>
          </cell>
          <cell r="AN173">
            <v>0.4</v>
          </cell>
          <cell r="AO173">
            <v>1.74</v>
          </cell>
        </row>
        <row r="174">
          <cell r="C174">
            <v>274.13</v>
          </cell>
          <cell r="D174">
            <v>0</v>
          </cell>
          <cell r="E174">
            <v>120</v>
          </cell>
          <cell r="F174">
            <v>124.21</v>
          </cell>
          <cell r="G174">
            <v>0</v>
          </cell>
          <cell r="H174">
            <v>119.92</v>
          </cell>
          <cell r="I174">
            <v>69.08</v>
          </cell>
          <cell r="J174">
            <v>69.08</v>
          </cell>
          <cell r="K174">
            <v>3.6</v>
          </cell>
          <cell r="L174">
            <v>3.6</v>
          </cell>
          <cell r="M174">
            <v>3.6</v>
          </cell>
          <cell r="N174">
            <v>3.6</v>
          </cell>
          <cell r="O174">
            <v>41.45</v>
          </cell>
          <cell r="P174">
            <v>33.700000000000003</v>
          </cell>
          <cell r="Q174">
            <v>41.45</v>
          </cell>
          <cell r="R174">
            <v>32.68</v>
          </cell>
          <cell r="S174">
            <v>36.840000000000003</v>
          </cell>
          <cell r="T174">
            <v>0</v>
          </cell>
          <cell r="U174">
            <v>36.840000000000003</v>
          </cell>
          <cell r="V174">
            <v>4.68</v>
          </cell>
          <cell r="W174">
            <v>4.68</v>
          </cell>
          <cell r="X174">
            <v>4.68</v>
          </cell>
          <cell r="Y174">
            <v>4.16</v>
          </cell>
          <cell r="Z174">
            <v>4.68</v>
          </cell>
          <cell r="AA174">
            <v>5.04</v>
          </cell>
          <cell r="AB174">
            <v>5.04</v>
          </cell>
          <cell r="AC174">
            <v>5.04</v>
          </cell>
          <cell r="AD174">
            <v>5.04</v>
          </cell>
          <cell r="AE174">
            <v>5.04</v>
          </cell>
          <cell r="AF174">
            <v>5.04</v>
          </cell>
          <cell r="AG174">
            <v>60</v>
          </cell>
          <cell r="AH174">
            <v>30.5</v>
          </cell>
          <cell r="AI174">
            <v>12</v>
          </cell>
          <cell r="AJ174">
            <v>4</v>
          </cell>
          <cell r="AK174">
            <v>2.5</v>
          </cell>
          <cell r="AL174">
            <v>3</v>
          </cell>
          <cell r="AM174">
            <v>1.1000000000000001</v>
          </cell>
          <cell r="AN174">
            <v>0.4</v>
          </cell>
          <cell r="AO174">
            <v>1.74</v>
          </cell>
        </row>
        <row r="175">
          <cell r="C175">
            <v>325.37</v>
          </cell>
          <cell r="D175">
            <v>0</v>
          </cell>
          <cell r="E175">
            <v>170.56</v>
          </cell>
          <cell r="F175">
            <v>124.21</v>
          </cell>
          <cell r="G175">
            <v>0</v>
          </cell>
          <cell r="H175">
            <v>119.92</v>
          </cell>
          <cell r="I175">
            <v>69.08</v>
          </cell>
          <cell r="J175">
            <v>69.08</v>
          </cell>
          <cell r="K175">
            <v>3.6</v>
          </cell>
          <cell r="L175">
            <v>3.6</v>
          </cell>
          <cell r="M175">
            <v>3.6</v>
          </cell>
          <cell r="N175">
            <v>3.6</v>
          </cell>
          <cell r="O175">
            <v>41.45</v>
          </cell>
          <cell r="P175">
            <v>33.700000000000003</v>
          </cell>
          <cell r="Q175">
            <v>41.45</v>
          </cell>
          <cell r="R175">
            <v>32.68</v>
          </cell>
          <cell r="S175">
            <v>36.840000000000003</v>
          </cell>
          <cell r="T175">
            <v>0</v>
          </cell>
          <cell r="U175">
            <v>36.840000000000003</v>
          </cell>
          <cell r="V175">
            <v>4.68</v>
          </cell>
          <cell r="W175">
            <v>4.68</v>
          </cell>
          <cell r="X175">
            <v>4.68</v>
          </cell>
          <cell r="Y175">
            <v>4.16</v>
          </cell>
          <cell r="Z175">
            <v>4.68</v>
          </cell>
          <cell r="AA175">
            <v>5.04</v>
          </cell>
          <cell r="AB175">
            <v>5.04</v>
          </cell>
          <cell r="AC175">
            <v>5.04</v>
          </cell>
          <cell r="AD175">
            <v>5.04</v>
          </cell>
          <cell r="AE175">
            <v>5.04</v>
          </cell>
          <cell r="AF175">
            <v>5.04</v>
          </cell>
          <cell r="AG175">
            <v>60</v>
          </cell>
          <cell r="AH175">
            <v>30.5</v>
          </cell>
          <cell r="AI175">
            <v>12</v>
          </cell>
          <cell r="AJ175">
            <v>4</v>
          </cell>
          <cell r="AK175">
            <v>2.5</v>
          </cell>
          <cell r="AL175">
            <v>3</v>
          </cell>
          <cell r="AM175">
            <v>1.1000000000000001</v>
          </cell>
          <cell r="AN175">
            <v>0.4</v>
          </cell>
          <cell r="AO175">
            <v>1.74</v>
          </cell>
        </row>
        <row r="176">
          <cell r="C176">
            <v>342.64</v>
          </cell>
          <cell r="D176">
            <v>0</v>
          </cell>
          <cell r="E176">
            <v>205.58</v>
          </cell>
          <cell r="F176">
            <v>124.21</v>
          </cell>
          <cell r="G176">
            <v>24.01</v>
          </cell>
          <cell r="H176">
            <v>119.92</v>
          </cell>
          <cell r="I176">
            <v>69.08</v>
          </cell>
          <cell r="J176">
            <v>69.08</v>
          </cell>
          <cell r="K176">
            <v>3.6</v>
          </cell>
          <cell r="L176">
            <v>3.6</v>
          </cell>
          <cell r="M176">
            <v>3.6</v>
          </cell>
          <cell r="N176">
            <v>3.6</v>
          </cell>
          <cell r="O176">
            <v>41.45</v>
          </cell>
          <cell r="P176">
            <v>33.700000000000003</v>
          </cell>
          <cell r="Q176">
            <v>41.45</v>
          </cell>
          <cell r="R176">
            <v>32.68</v>
          </cell>
          <cell r="S176">
            <v>36.840000000000003</v>
          </cell>
          <cell r="T176">
            <v>0</v>
          </cell>
          <cell r="U176">
            <v>36.840000000000003</v>
          </cell>
          <cell r="V176">
            <v>4.68</v>
          </cell>
          <cell r="W176">
            <v>4.68</v>
          </cell>
          <cell r="X176">
            <v>4.68</v>
          </cell>
          <cell r="Y176">
            <v>4.16</v>
          </cell>
          <cell r="Z176">
            <v>4.68</v>
          </cell>
          <cell r="AA176">
            <v>5.04</v>
          </cell>
          <cell r="AB176">
            <v>5.04</v>
          </cell>
          <cell r="AC176">
            <v>5.04</v>
          </cell>
          <cell r="AD176">
            <v>5.04</v>
          </cell>
          <cell r="AE176">
            <v>5.04</v>
          </cell>
          <cell r="AF176">
            <v>5.04</v>
          </cell>
          <cell r="AG176">
            <v>60</v>
          </cell>
          <cell r="AH176">
            <v>30.5</v>
          </cell>
          <cell r="AI176">
            <v>12</v>
          </cell>
          <cell r="AJ176">
            <v>4</v>
          </cell>
          <cell r="AK176">
            <v>2.5</v>
          </cell>
          <cell r="AL176">
            <v>3</v>
          </cell>
          <cell r="AM176">
            <v>1.1000000000000001</v>
          </cell>
          <cell r="AN176">
            <v>0.4</v>
          </cell>
          <cell r="AO176">
            <v>1.74</v>
          </cell>
        </row>
        <row r="177">
          <cell r="C177">
            <v>358.63</v>
          </cell>
          <cell r="D177">
            <v>0</v>
          </cell>
          <cell r="E177">
            <v>205.58</v>
          </cell>
          <cell r="F177">
            <v>124.21</v>
          </cell>
          <cell r="G177">
            <v>24.01</v>
          </cell>
          <cell r="H177">
            <v>119.92</v>
          </cell>
          <cell r="I177">
            <v>69.08</v>
          </cell>
          <cell r="J177">
            <v>69.08</v>
          </cell>
          <cell r="K177">
            <v>3.6</v>
          </cell>
          <cell r="L177">
            <v>3.6</v>
          </cell>
          <cell r="M177">
            <v>3.6</v>
          </cell>
          <cell r="N177">
            <v>3.6</v>
          </cell>
          <cell r="O177">
            <v>41.45</v>
          </cell>
          <cell r="P177">
            <v>33.700000000000003</v>
          </cell>
          <cell r="Q177">
            <v>41.45</v>
          </cell>
          <cell r="R177">
            <v>32.68</v>
          </cell>
          <cell r="S177">
            <v>36.840000000000003</v>
          </cell>
          <cell r="T177">
            <v>1.8</v>
          </cell>
          <cell r="U177">
            <v>36.840000000000003</v>
          </cell>
          <cell r="V177">
            <v>4.68</v>
          </cell>
          <cell r="W177">
            <v>4.68</v>
          </cell>
          <cell r="X177">
            <v>4.68</v>
          </cell>
          <cell r="Y177">
            <v>4.16</v>
          </cell>
          <cell r="Z177">
            <v>4.68</v>
          </cell>
          <cell r="AA177">
            <v>5.04</v>
          </cell>
          <cell r="AB177">
            <v>5.04</v>
          </cell>
          <cell r="AC177">
            <v>5.04</v>
          </cell>
          <cell r="AD177">
            <v>5.04</v>
          </cell>
          <cell r="AE177">
            <v>5.04</v>
          </cell>
          <cell r="AF177">
            <v>5.04</v>
          </cell>
          <cell r="AG177">
            <v>60</v>
          </cell>
          <cell r="AH177">
            <v>30.5</v>
          </cell>
          <cell r="AI177">
            <v>12</v>
          </cell>
          <cell r="AJ177">
            <v>4</v>
          </cell>
          <cell r="AK177">
            <v>2.5</v>
          </cell>
          <cell r="AL177">
            <v>3</v>
          </cell>
          <cell r="AM177">
            <v>1.1000000000000001</v>
          </cell>
          <cell r="AN177">
            <v>0.4</v>
          </cell>
          <cell r="AO177">
            <v>1.74</v>
          </cell>
        </row>
        <row r="178">
          <cell r="C178">
            <v>375.19</v>
          </cell>
          <cell r="D178">
            <v>0</v>
          </cell>
          <cell r="E178">
            <v>205.58</v>
          </cell>
          <cell r="F178">
            <v>124.21</v>
          </cell>
          <cell r="G178">
            <v>24.01</v>
          </cell>
          <cell r="H178">
            <v>119.92</v>
          </cell>
          <cell r="I178">
            <v>69.08</v>
          </cell>
          <cell r="J178">
            <v>69.08</v>
          </cell>
          <cell r="K178">
            <v>3.6</v>
          </cell>
          <cell r="L178">
            <v>3.6</v>
          </cell>
          <cell r="M178">
            <v>3.6</v>
          </cell>
          <cell r="N178">
            <v>3.6</v>
          </cell>
          <cell r="O178">
            <v>41.45</v>
          </cell>
          <cell r="P178">
            <v>33.700000000000003</v>
          </cell>
          <cell r="Q178">
            <v>41.45</v>
          </cell>
          <cell r="R178">
            <v>32.68</v>
          </cell>
          <cell r="S178">
            <v>36.840000000000003</v>
          </cell>
          <cell r="T178">
            <v>1.8</v>
          </cell>
          <cell r="U178">
            <v>36.840000000000003</v>
          </cell>
          <cell r="V178">
            <v>4.68</v>
          </cell>
          <cell r="W178">
            <v>4.68</v>
          </cell>
          <cell r="X178">
            <v>4.68</v>
          </cell>
          <cell r="Y178">
            <v>4.16</v>
          </cell>
          <cell r="Z178">
            <v>4.68</v>
          </cell>
          <cell r="AA178">
            <v>5.04</v>
          </cell>
          <cell r="AB178">
            <v>5.04</v>
          </cell>
          <cell r="AC178">
            <v>5.04</v>
          </cell>
          <cell r="AD178">
            <v>5.04</v>
          </cell>
          <cell r="AE178">
            <v>5.04</v>
          </cell>
          <cell r="AF178">
            <v>5.04</v>
          </cell>
          <cell r="AG178">
            <v>60</v>
          </cell>
          <cell r="AH178">
            <v>30.5</v>
          </cell>
          <cell r="AI178">
            <v>12</v>
          </cell>
          <cell r="AJ178">
            <v>5.74</v>
          </cell>
          <cell r="AK178">
            <v>2.5</v>
          </cell>
          <cell r="AL178">
            <v>3</v>
          </cell>
          <cell r="AM178">
            <v>1.29</v>
          </cell>
          <cell r="AN178">
            <v>0.4</v>
          </cell>
          <cell r="AO178">
            <v>1.74</v>
          </cell>
        </row>
        <row r="179">
          <cell r="C179">
            <v>355.61</v>
          </cell>
          <cell r="D179">
            <v>0</v>
          </cell>
          <cell r="E179">
            <v>205.58</v>
          </cell>
          <cell r="F179">
            <v>124.21</v>
          </cell>
          <cell r="G179">
            <v>24.01</v>
          </cell>
          <cell r="H179">
            <v>119.92</v>
          </cell>
          <cell r="I179">
            <v>69.08</v>
          </cell>
          <cell r="J179">
            <v>69.08</v>
          </cell>
          <cell r="K179">
            <v>3.6</v>
          </cell>
          <cell r="L179">
            <v>3.6</v>
          </cell>
          <cell r="M179">
            <v>3.6</v>
          </cell>
          <cell r="N179">
            <v>3.6</v>
          </cell>
          <cell r="O179">
            <v>41.45</v>
          </cell>
          <cell r="P179">
            <v>33.700000000000003</v>
          </cell>
          <cell r="Q179">
            <v>41.45</v>
          </cell>
          <cell r="R179">
            <v>32.68</v>
          </cell>
          <cell r="S179">
            <v>36.840000000000003</v>
          </cell>
          <cell r="T179">
            <v>1.8</v>
          </cell>
          <cell r="U179">
            <v>36.840000000000003</v>
          </cell>
          <cell r="V179">
            <v>4.68</v>
          </cell>
          <cell r="W179">
            <v>4.68</v>
          </cell>
          <cell r="X179">
            <v>4.68</v>
          </cell>
          <cell r="Y179">
            <v>4.16</v>
          </cell>
          <cell r="Z179">
            <v>4.68</v>
          </cell>
          <cell r="AA179">
            <v>5.04</v>
          </cell>
          <cell r="AB179">
            <v>5.04</v>
          </cell>
          <cell r="AC179">
            <v>5.04</v>
          </cell>
          <cell r="AD179">
            <v>5.04</v>
          </cell>
          <cell r="AE179">
            <v>5.04</v>
          </cell>
          <cell r="AF179">
            <v>5.04</v>
          </cell>
          <cell r="AG179">
            <v>60</v>
          </cell>
          <cell r="AH179">
            <v>30.5</v>
          </cell>
          <cell r="AI179">
            <v>12</v>
          </cell>
          <cell r="AJ179">
            <v>6.16</v>
          </cell>
          <cell r="AK179">
            <v>2.5</v>
          </cell>
          <cell r="AL179">
            <v>3</v>
          </cell>
          <cell r="AM179">
            <v>1.34</v>
          </cell>
          <cell r="AN179">
            <v>0.4</v>
          </cell>
          <cell r="AO179">
            <v>1.74</v>
          </cell>
        </row>
        <row r="180">
          <cell r="C180">
            <v>378.45</v>
          </cell>
          <cell r="D180">
            <v>0</v>
          </cell>
          <cell r="E180">
            <v>205.58</v>
          </cell>
          <cell r="F180">
            <v>124.21</v>
          </cell>
          <cell r="G180">
            <v>24.01</v>
          </cell>
          <cell r="H180">
            <v>119.92</v>
          </cell>
          <cell r="I180">
            <v>69.08</v>
          </cell>
          <cell r="J180">
            <v>69.08</v>
          </cell>
          <cell r="K180">
            <v>3.6</v>
          </cell>
          <cell r="L180">
            <v>3.6</v>
          </cell>
          <cell r="M180">
            <v>3.6</v>
          </cell>
          <cell r="N180">
            <v>3.6</v>
          </cell>
          <cell r="O180">
            <v>41.45</v>
          </cell>
          <cell r="P180">
            <v>33.700000000000003</v>
          </cell>
          <cell r="Q180">
            <v>41.45</v>
          </cell>
          <cell r="R180">
            <v>32.68</v>
          </cell>
          <cell r="S180">
            <v>36.840000000000003</v>
          </cell>
          <cell r="T180">
            <v>1.8</v>
          </cell>
          <cell r="U180">
            <v>36.840000000000003</v>
          </cell>
          <cell r="V180">
            <v>4.68</v>
          </cell>
          <cell r="W180">
            <v>4.68</v>
          </cell>
          <cell r="X180">
            <v>4.68</v>
          </cell>
          <cell r="Y180">
            <v>4.16</v>
          </cell>
          <cell r="Z180">
            <v>4.68</v>
          </cell>
          <cell r="AA180">
            <v>5.04</v>
          </cell>
          <cell r="AB180">
            <v>5.04</v>
          </cell>
          <cell r="AC180">
            <v>5.04</v>
          </cell>
          <cell r="AD180">
            <v>5.04</v>
          </cell>
          <cell r="AE180">
            <v>5.04</v>
          </cell>
          <cell r="AF180">
            <v>5.04</v>
          </cell>
          <cell r="AG180">
            <v>60</v>
          </cell>
          <cell r="AH180">
            <v>30.5</v>
          </cell>
          <cell r="AI180">
            <v>12</v>
          </cell>
          <cell r="AJ180">
            <v>6.16</v>
          </cell>
          <cell r="AK180">
            <v>2.5</v>
          </cell>
          <cell r="AL180">
            <v>3</v>
          </cell>
          <cell r="AM180">
            <v>1.34</v>
          </cell>
          <cell r="AN180">
            <v>0.4</v>
          </cell>
          <cell r="AO180">
            <v>1.74</v>
          </cell>
        </row>
        <row r="181">
          <cell r="C181">
            <v>384.31</v>
          </cell>
          <cell r="D181">
            <v>0</v>
          </cell>
          <cell r="E181">
            <v>205.58</v>
          </cell>
          <cell r="F181">
            <v>124.21</v>
          </cell>
          <cell r="G181">
            <v>24.01</v>
          </cell>
          <cell r="H181">
            <v>119.92</v>
          </cell>
          <cell r="I181">
            <v>69.08</v>
          </cell>
          <cell r="J181">
            <v>69.08</v>
          </cell>
          <cell r="K181">
            <v>3.6</v>
          </cell>
          <cell r="L181">
            <v>3.6</v>
          </cell>
          <cell r="M181">
            <v>3.6</v>
          </cell>
          <cell r="N181">
            <v>3.6</v>
          </cell>
          <cell r="O181">
            <v>41.45</v>
          </cell>
          <cell r="P181">
            <v>33.700000000000003</v>
          </cell>
          <cell r="Q181">
            <v>41.45</v>
          </cell>
          <cell r="R181">
            <v>32.68</v>
          </cell>
          <cell r="S181">
            <v>36.840000000000003</v>
          </cell>
          <cell r="T181">
            <v>1.8</v>
          </cell>
          <cell r="U181">
            <v>36.840000000000003</v>
          </cell>
          <cell r="V181">
            <v>4.68</v>
          </cell>
          <cell r="W181">
            <v>4.68</v>
          </cell>
          <cell r="X181">
            <v>4.68</v>
          </cell>
          <cell r="Y181">
            <v>4.16</v>
          </cell>
          <cell r="Z181">
            <v>4.68</v>
          </cell>
          <cell r="AA181">
            <v>5.04</v>
          </cell>
          <cell r="AB181">
            <v>5.04</v>
          </cell>
          <cell r="AC181">
            <v>5.04</v>
          </cell>
          <cell r="AD181">
            <v>5.04</v>
          </cell>
          <cell r="AE181">
            <v>5.04</v>
          </cell>
          <cell r="AF181">
            <v>5.04</v>
          </cell>
          <cell r="AG181">
            <v>60</v>
          </cell>
          <cell r="AH181">
            <v>30.5</v>
          </cell>
          <cell r="AI181">
            <v>12</v>
          </cell>
          <cell r="AJ181">
            <v>6.16</v>
          </cell>
          <cell r="AK181">
            <v>2.5</v>
          </cell>
          <cell r="AL181">
            <v>3</v>
          </cell>
          <cell r="AM181">
            <v>1.34</v>
          </cell>
          <cell r="AN181">
            <v>0.4</v>
          </cell>
          <cell r="AO181">
            <v>1.74</v>
          </cell>
        </row>
        <row r="182">
          <cell r="C182">
            <v>326.19</v>
          </cell>
          <cell r="D182">
            <v>0</v>
          </cell>
          <cell r="E182">
            <v>205.58</v>
          </cell>
          <cell r="F182">
            <v>124.21</v>
          </cell>
          <cell r="G182">
            <v>24.01</v>
          </cell>
          <cell r="H182">
            <v>119.92</v>
          </cell>
          <cell r="I182">
            <v>69.08</v>
          </cell>
          <cell r="J182">
            <v>69.08</v>
          </cell>
          <cell r="K182">
            <v>3.6</v>
          </cell>
          <cell r="L182">
            <v>3.6</v>
          </cell>
          <cell r="M182">
            <v>3.6</v>
          </cell>
          <cell r="N182">
            <v>3.6</v>
          </cell>
          <cell r="O182">
            <v>41.45</v>
          </cell>
          <cell r="P182">
            <v>33.700000000000003</v>
          </cell>
          <cell r="Q182">
            <v>41.45</v>
          </cell>
          <cell r="R182">
            <v>32.68</v>
          </cell>
          <cell r="S182">
            <v>36.840000000000003</v>
          </cell>
          <cell r="T182">
            <v>1.8</v>
          </cell>
          <cell r="U182">
            <v>36.840000000000003</v>
          </cell>
          <cell r="V182">
            <v>4.68</v>
          </cell>
          <cell r="W182">
            <v>4.68</v>
          </cell>
          <cell r="X182">
            <v>4.68</v>
          </cell>
          <cell r="Y182">
            <v>4.16</v>
          </cell>
          <cell r="Z182">
            <v>4.68</v>
          </cell>
          <cell r="AA182">
            <v>5.04</v>
          </cell>
          <cell r="AB182">
            <v>5.04</v>
          </cell>
          <cell r="AC182">
            <v>5.04</v>
          </cell>
          <cell r="AD182">
            <v>5.04</v>
          </cell>
          <cell r="AE182">
            <v>5.04</v>
          </cell>
          <cell r="AF182">
            <v>5.04</v>
          </cell>
          <cell r="AG182">
            <v>60</v>
          </cell>
          <cell r="AH182">
            <v>69.459999999999994</v>
          </cell>
          <cell r="AI182">
            <v>12</v>
          </cell>
          <cell r="AJ182">
            <v>6.16</v>
          </cell>
          <cell r="AK182">
            <v>2.5</v>
          </cell>
          <cell r="AL182">
            <v>3</v>
          </cell>
          <cell r="AM182">
            <v>1.34</v>
          </cell>
          <cell r="AN182">
            <v>0.4</v>
          </cell>
          <cell r="AO182">
            <v>1.74</v>
          </cell>
        </row>
        <row r="183">
          <cell r="C183">
            <v>311.62</v>
          </cell>
          <cell r="D183">
            <v>0</v>
          </cell>
          <cell r="E183">
            <v>205.58</v>
          </cell>
          <cell r="F183">
            <v>124.21</v>
          </cell>
          <cell r="G183">
            <v>24.01</v>
          </cell>
          <cell r="H183">
            <v>119.92</v>
          </cell>
          <cell r="I183">
            <v>69.08</v>
          </cell>
          <cell r="J183">
            <v>69.08</v>
          </cell>
          <cell r="K183">
            <v>3.6</v>
          </cell>
          <cell r="L183">
            <v>3.6</v>
          </cell>
          <cell r="M183">
            <v>3.6</v>
          </cell>
          <cell r="N183">
            <v>3.6</v>
          </cell>
          <cell r="O183">
            <v>41.45</v>
          </cell>
          <cell r="P183">
            <v>33.700000000000003</v>
          </cell>
          <cell r="Q183">
            <v>41.45</v>
          </cell>
          <cell r="R183">
            <v>32.68</v>
          </cell>
          <cell r="S183">
            <v>36.840000000000003</v>
          </cell>
          <cell r="T183">
            <v>1.8</v>
          </cell>
          <cell r="U183">
            <v>36.840000000000003</v>
          </cell>
          <cell r="V183">
            <v>4.68</v>
          </cell>
          <cell r="W183">
            <v>4.68</v>
          </cell>
          <cell r="X183">
            <v>4.68</v>
          </cell>
          <cell r="Y183">
            <v>4.16</v>
          </cell>
          <cell r="Z183">
            <v>4.68</v>
          </cell>
          <cell r="AA183">
            <v>5.04</v>
          </cell>
          <cell r="AB183">
            <v>5.04</v>
          </cell>
          <cell r="AC183">
            <v>5.04</v>
          </cell>
          <cell r="AD183">
            <v>5.04</v>
          </cell>
          <cell r="AE183">
            <v>5.04</v>
          </cell>
          <cell r="AF183">
            <v>5.04</v>
          </cell>
          <cell r="AG183">
            <v>60</v>
          </cell>
          <cell r="AH183">
            <v>75.12</v>
          </cell>
          <cell r="AI183">
            <v>12</v>
          </cell>
          <cell r="AJ183">
            <v>6.16</v>
          </cell>
          <cell r="AK183">
            <v>2.5</v>
          </cell>
          <cell r="AL183">
            <v>3</v>
          </cell>
          <cell r="AM183">
            <v>1.34</v>
          </cell>
          <cell r="AN183">
            <v>0.4</v>
          </cell>
          <cell r="AO183">
            <v>1.74</v>
          </cell>
        </row>
        <row r="184">
          <cell r="C184">
            <v>310.94</v>
          </cell>
          <cell r="D184">
            <v>22.77</v>
          </cell>
          <cell r="E184">
            <v>205.58</v>
          </cell>
          <cell r="F184">
            <v>124.21</v>
          </cell>
          <cell r="G184">
            <v>24.01</v>
          </cell>
          <cell r="H184">
            <v>119.92</v>
          </cell>
          <cell r="I184">
            <v>69.08</v>
          </cell>
          <cell r="J184">
            <v>69.08</v>
          </cell>
          <cell r="K184">
            <v>3.6</v>
          </cell>
          <cell r="L184">
            <v>3.6</v>
          </cell>
          <cell r="M184">
            <v>3.6</v>
          </cell>
          <cell r="N184">
            <v>3.6</v>
          </cell>
          <cell r="O184">
            <v>41.45</v>
          </cell>
          <cell r="P184">
            <v>33.700000000000003</v>
          </cell>
          <cell r="Q184">
            <v>41.45</v>
          </cell>
          <cell r="R184">
            <v>32.68</v>
          </cell>
          <cell r="S184">
            <v>36.840000000000003</v>
          </cell>
          <cell r="T184">
            <v>1.8</v>
          </cell>
          <cell r="U184">
            <v>35.08</v>
          </cell>
          <cell r="V184">
            <v>4.68</v>
          </cell>
          <cell r="W184">
            <v>4.68</v>
          </cell>
          <cell r="X184">
            <v>4.68</v>
          </cell>
          <cell r="Y184">
            <v>4.16</v>
          </cell>
          <cell r="Z184">
            <v>4.68</v>
          </cell>
          <cell r="AA184">
            <v>5.04</v>
          </cell>
          <cell r="AB184">
            <v>5.04</v>
          </cell>
          <cell r="AC184">
            <v>5.04</v>
          </cell>
          <cell r="AD184">
            <v>5.04</v>
          </cell>
          <cell r="AE184">
            <v>5.04</v>
          </cell>
          <cell r="AF184">
            <v>5.04</v>
          </cell>
          <cell r="AG184">
            <v>60</v>
          </cell>
          <cell r="AH184">
            <v>75.12</v>
          </cell>
          <cell r="AI184">
            <v>31.88</v>
          </cell>
          <cell r="AJ184">
            <v>6.16</v>
          </cell>
          <cell r="AK184">
            <v>2.5</v>
          </cell>
          <cell r="AL184">
            <v>3</v>
          </cell>
          <cell r="AM184">
            <v>1.34</v>
          </cell>
          <cell r="AN184">
            <v>0.4</v>
          </cell>
          <cell r="AO184">
            <v>1.74</v>
          </cell>
        </row>
        <row r="185">
          <cell r="C185">
            <v>657.14</v>
          </cell>
          <cell r="D185">
            <v>70.31</v>
          </cell>
          <cell r="E185">
            <v>205.58</v>
          </cell>
          <cell r="F185">
            <v>124.21</v>
          </cell>
          <cell r="G185">
            <v>24.01</v>
          </cell>
          <cell r="H185">
            <v>119.92</v>
          </cell>
          <cell r="I185">
            <v>69.08</v>
          </cell>
          <cell r="J185">
            <v>69.08</v>
          </cell>
          <cell r="K185">
            <v>3.6</v>
          </cell>
          <cell r="L185">
            <v>3.6</v>
          </cell>
          <cell r="M185">
            <v>3.6</v>
          </cell>
          <cell r="N185">
            <v>3.6</v>
          </cell>
          <cell r="O185">
            <v>41.45</v>
          </cell>
          <cell r="P185">
            <v>33.700000000000003</v>
          </cell>
          <cell r="Q185">
            <v>41.45</v>
          </cell>
          <cell r="R185">
            <v>32.68</v>
          </cell>
          <cell r="S185">
            <v>36.840000000000003</v>
          </cell>
          <cell r="T185">
            <v>1.8</v>
          </cell>
          <cell r="U185">
            <v>36.840000000000003</v>
          </cell>
          <cell r="V185">
            <v>4.68</v>
          </cell>
          <cell r="W185">
            <v>4.68</v>
          </cell>
          <cell r="X185">
            <v>4.68</v>
          </cell>
          <cell r="Y185">
            <v>4.16</v>
          </cell>
          <cell r="Z185">
            <v>4.68</v>
          </cell>
          <cell r="AA185">
            <v>5.04</v>
          </cell>
          <cell r="AB185">
            <v>5.04</v>
          </cell>
          <cell r="AC185">
            <v>5.04</v>
          </cell>
          <cell r="AD185">
            <v>5.04</v>
          </cell>
          <cell r="AE185">
            <v>5.04</v>
          </cell>
          <cell r="AF185">
            <v>5.04</v>
          </cell>
          <cell r="AG185">
            <v>154.4</v>
          </cell>
          <cell r="AH185">
            <v>75.12</v>
          </cell>
          <cell r="AI185">
            <v>37.049999999999997</v>
          </cell>
          <cell r="AJ185">
            <v>6.16</v>
          </cell>
          <cell r="AK185">
            <v>4.82</v>
          </cell>
          <cell r="AL185">
            <v>10.029999999999999</v>
          </cell>
          <cell r="AM185">
            <v>1.34</v>
          </cell>
          <cell r="AN185">
            <v>0.4</v>
          </cell>
          <cell r="AO185">
            <v>1.74</v>
          </cell>
        </row>
        <row r="186">
          <cell r="C186">
            <v>716.18</v>
          </cell>
          <cell r="D186">
            <v>70.31</v>
          </cell>
          <cell r="E186">
            <v>205.58</v>
          </cell>
          <cell r="F186">
            <v>124.21</v>
          </cell>
          <cell r="G186">
            <v>24.01</v>
          </cell>
          <cell r="H186">
            <v>119.92</v>
          </cell>
          <cell r="I186">
            <v>69.08</v>
          </cell>
          <cell r="J186">
            <v>69.08</v>
          </cell>
          <cell r="K186">
            <v>3.6</v>
          </cell>
          <cell r="L186">
            <v>3.6</v>
          </cell>
          <cell r="M186">
            <v>3.6</v>
          </cell>
          <cell r="N186">
            <v>3.6</v>
          </cell>
          <cell r="O186">
            <v>41.45</v>
          </cell>
          <cell r="P186">
            <v>33.700000000000003</v>
          </cell>
          <cell r="Q186">
            <v>41.45</v>
          </cell>
          <cell r="R186">
            <v>32.68</v>
          </cell>
          <cell r="S186">
            <v>36.840000000000003</v>
          </cell>
          <cell r="T186">
            <v>1.8</v>
          </cell>
          <cell r="U186">
            <v>36.840000000000003</v>
          </cell>
          <cell r="V186">
            <v>4.68</v>
          </cell>
          <cell r="W186">
            <v>4.68</v>
          </cell>
          <cell r="X186">
            <v>4.68</v>
          </cell>
          <cell r="Y186">
            <v>4.16</v>
          </cell>
          <cell r="Z186">
            <v>4.68</v>
          </cell>
          <cell r="AA186">
            <v>5.04</v>
          </cell>
          <cell r="AB186">
            <v>5.04</v>
          </cell>
          <cell r="AC186">
            <v>5.04</v>
          </cell>
          <cell r="AD186">
            <v>5.04</v>
          </cell>
          <cell r="AE186">
            <v>5.04</v>
          </cell>
          <cell r="AF186">
            <v>5.04</v>
          </cell>
          <cell r="AG186">
            <v>70.760000000000005</v>
          </cell>
          <cell r="AH186">
            <v>75.12</v>
          </cell>
          <cell r="AI186">
            <v>37.049999999999997</v>
          </cell>
          <cell r="AJ186">
            <v>6.16</v>
          </cell>
          <cell r="AK186">
            <v>4.82</v>
          </cell>
          <cell r="AL186">
            <v>10.029999999999999</v>
          </cell>
          <cell r="AM186">
            <v>1.34</v>
          </cell>
          <cell r="AN186">
            <v>0.4</v>
          </cell>
          <cell r="AO186">
            <v>1.74</v>
          </cell>
        </row>
        <row r="187">
          <cell r="C187">
            <v>592.57000000000005</v>
          </cell>
          <cell r="D187">
            <v>70.31</v>
          </cell>
          <cell r="E187">
            <v>205.58</v>
          </cell>
          <cell r="F187">
            <v>124.21</v>
          </cell>
          <cell r="G187">
            <v>24.01</v>
          </cell>
          <cell r="H187">
            <v>119.92</v>
          </cell>
          <cell r="I187">
            <v>69.08</v>
          </cell>
          <cell r="J187">
            <v>69.08</v>
          </cell>
          <cell r="K187">
            <v>3.6</v>
          </cell>
          <cell r="L187">
            <v>3.6</v>
          </cell>
          <cell r="M187">
            <v>3.6</v>
          </cell>
          <cell r="N187">
            <v>3.6</v>
          </cell>
          <cell r="O187">
            <v>41.45</v>
          </cell>
          <cell r="P187">
            <v>33.700000000000003</v>
          </cell>
          <cell r="Q187">
            <v>41.45</v>
          </cell>
          <cell r="R187">
            <v>32.68</v>
          </cell>
          <cell r="S187">
            <v>36.840000000000003</v>
          </cell>
          <cell r="T187">
            <v>1.8</v>
          </cell>
          <cell r="U187">
            <v>36.840000000000003</v>
          </cell>
          <cell r="V187">
            <v>4.68</v>
          </cell>
          <cell r="W187">
            <v>4.68</v>
          </cell>
          <cell r="X187">
            <v>4.68</v>
          </cell>
          <cell r="Y187">
            <v>4.16</v>
          </cell>
          <cell r="Z187">
            <v>4.68</v>
          </cell>
          <cell r="AA187">
            <v>5.04</v>
          </cell>
          <cell r="AB187">
            <v>5.04</v>
          </cell>
          <cell r="AC187">
            <v>5.04</v>
          </cell>
          <cell r="AD187">
            <v>5.04</v>
          </cell>
          <cell r="AE187">
            <v>5.04</v>
          </cell>
          <cell r="AF187">
            <v>5.04</v>
          </cell>
          <cell r="AG187">
            <v>60</v>
          </cell>
          <cell r="AH187">
            <v>75.12</v>
          </cell>
          <cell r="AI187">
            <v>37.049999999999997</v>
          </cell>
          <cell r="AJ187">
            <v>6.16</v>
          </cell>
          <cell r="AK187">
            <v>4.82</v>
          </cell>
          <cell r="AL187">
            <v>10.029999999999999</v>
          </cell>
          <cell r="AM187">
            <v>1.34</v>
          </cell>
          <cell r="AN187">
            <v>0.4</v>
          </cell>
          <cell r="AO187">
            <v>1.74</v>
          </cell>
        </row>
        <row r="188">
          <cell r="C188">
            <v>384.6</v>
          </cell>
          <cell r="D188">
            <v>70.31</v>
          </cell>
          <cell r="E188">
            <v>205.58</v>
          </cell>
          <cell r="F188">
            <v>124.21</v>
          </cell>
          <cell r="G188">
            <v>24.01</v>
          </cell>
          <cell r="H188">
            <v>119.92</v>
          </cell>
          <cell r="I188">
            <v>69.08</v>
          </cell>
          <cell r="J188">
            <v>69.08</v>
          </cell>
          <cell r="K188">
            <v>3.6</v>
          </cell>
          <cell r="L188">
            <v>3.6</v>
          </cell>
          <cell r="M188">
            <v>3.6</v>
          </cell>
          <cell r="N188">
            <v>3.6</v>
          </cell>
          <cell r="O188">
            <v>41.45</v>
          </cell>
          <cell r="P188">
            <v>33.700000000000003</v>
          </cell>
          <cell r="Q188">
            <v>41.45</v>
          </cell>
          <cell r="R188">
            <v>32.68</v>
          </cell>
          <cell r="S188">
            <v>36.840000000000003</v>
          </cell>
          <cell r="T188">
            <v>1.8</v>
          </cell>
          <cell r="U188">
            <v>36.840000000000003</v>
          </cell>
          <cell r="V188">
            <v>4.68</v>
          </cell>
          <cell r="W188">
            <v>4.68</v>
          </cell>
          <cell r="X188">
            <v>4.68</v>
          </cell>
          <cell r="Y188">
            <v>4.16</v>
          </cell>
          <cell r="Z188">
            <v>4.68</v>
          </cell>
          <cell r="AA188">
            <v>5.04</v>
          </cell>
          <cell r="AB188">
            <v>5.04</v>
          </cell>
          <cell r="AC188">
            <v>5.04</v>
          </cell>
          <cell r="AD188">
            <v>5.04</v>
          </cell>
          <cell r="AE188">
            <v>5.04</v>
          </cell>
          <cell r="AF188">
            <v>5.04</v>
          </cell>
          <cell r="AG188">
            <v>60</v>
          </cell>
          <cell r="AH188">
            <v>75.12</v>
          </cell>
          <cell r="AI188">
            <v>37.049999999999997</v>
          </cell>
          <cell r="AJ188">
            <v>6.16</v>
          </cell>
          <cell r="AK188">
            <v>3.28</v>
          </cell>
          <cell r="AL188">
            <v>9.9</v>
          </cell>
          <cell r="AM188">
            <v>1.34</v>
          </cell>
          <cell r="AN188">
            <v>0.4</v>
          </cell>
          <cell r="AO188">
            <v>1.74</v>
          </cell>
        </row>
        <row r="189">
          <cell r="C189">
            <v>302.66000000000003</v>
          </cell>
          <cell r="D189">
            <v>0</v>
          </cell>
          <cell r="E189">
            <v>205.58</v>
          </cell>
          <cell r="F189">
            <v>124.21</v>
          </cell>
          <cell r="G189">
            <v>0</v>
          </cell>
          <cell r="H189">
            <v>119.92</v>
          </cell>
          <cell r="I189">
            <v>69.08</v>
          </cell>
          <cell r="J189">
            <v>69.08</v>
          </cell>
          <cell r="K189">
            <v>3.6</v>
          </cell>
          <cell r="L189">
            <v>3.6</v>
          </cell>
          <cell r="M189">
            <v>3.6</v>
          </cell>
          <cell r="N189">
            <v>3.6</v>
          </cell>
          <cell r="O189">
            <v>41.45</v>
          </cell>
          <cell r="P189">
            <v>33.700000000000003</v>
          </cell>
          <cell r="Q189">
            <v>41.45</v>
          </cell>
          <cell r="R189">
            <v>32.68</v>
          </cell>
          <cell r="S189">
            <v>36.840000000000003</v>
          </cell>
          <cell r="T189">
            <v>0</v>
          </cell>
          <cell r="U189">
            <v>36.840000000000003</v>
          </cell>
          <cell r="V189">
            <v>4.68</v>
          </cell>
          <cell r="W189">
            <v>4.68</v>
          </cell>
          <cell r="X189">
            <v>4.68</v>
          </cell>
          <cell r="Y189">
            <v>4.16</v>
          </cell>
          <cell r="Z189">
            <v>4.68</v>
          </cell>
          <cell r="AA189">
            <v>5.04</v>
          </cell>
          <cell r="AB189">
            <v>5.04</v>
          </cell>
          <cell r="AC189">
            <v>5.04</v>
          </cell>
          <cell r="AD189">
            <v>5.04</v>
          </cell>
          <cell r="AE189">
            <v>5.04</v>
          </cell>
          <cell r="AF189">
            <v>5.04</v>
          </cell>
          <cell r="AG189">
            <v>60</v>
          </cell>
          <cell r="AH189">
            <v>30.5</v>
          </cell>
          <cell r="AI189">
            <v>12</v>
          </cell>
          <cell r="AJ189">
            <v>4</v>
          </cell>
          <cell r="AK189">
            <v>2.5</v>
          </cell>
          <cell r="AL189">
            <v>3</v>
          </cell>
          <cell r="AM189">
            <v>1.1000000000000001</v>
          </cell>
          <cell r="AN189">
            <v>0.4</v>
          </cell>
          <cell r="AO189">
            <v>1.74</v>
          </cell>
        </row>
        <row r="190">
          <cell r="C190">
            <v>388.73</v>
          </cell>
          <cell r="D190">
            <v>0</v>
          </cell>
          <cell r="E190">
            <v>0</v>
          </cell>
          <cell r="F190">
            <v>124.21</v>
          </cell>
          <cell r="G190">
            <v>0</v>
          </cell>
          <cell r="H190">
            <v>119.92</v>
          </cell>
          <cell r="I190">
            <v>69.08</v>
          </cell>
          <cell r="J190">
            <v>69.08</v>
          </cell>
          <cell r="K190">
            <v>3.6</v>
          </cell>
          <cell r="L190">
            <v>3.6</v>
          </cell>
          <cell r="M190">
            <v>3.6</v>
          </cell>
          <cell r="N190">
            <v>3.6</v>
          </cell>
          <cell r="O190">
            <v>41.45</v>
          </cell>
          <cell r="P190">
            <v>33.700000000000003</v>
          </cell>
          <cell r="Q190">
            <v>41.45</v>
          </cell>
          <cell r="R190">
            <v>32.68</v>
          </cell>
          <cell r="S190">
            <v>36.840000000000003</v>
          </cell>
          <cell r="T190">
            <v>0</v>
          </cell>
          <cell r="U190">
            <v>0</v>
          </cell>
          <cell r="V190">
            <v>4.68</v>
          </cell>
          <cell r="W190">
            <v>4.68</v>
          </cell>
          <cell r="X190">
            <v>4.68</v>
          </cell>
          <cell r="Y190">
            <v>4.16</v>
          </cell>
          <cell r="Z190">
            <v>4.68</v>
          </cell>
          <cell r="AA190">
            <v>5.04</v>
          </cell>
          <cell r="AB190">
            <v>5.04</v>
          </cell>
          <cell r="AC190">
            <v>5.04</v>
          </cell>
          <cell r="AD190">
            <v>5.04</v>
          </cell>
          <cell r="AE190">
            <v>5.04</v>
          </cell>
          <cell r="AF190">
            <v>5.04</v>
          </cell>
          <cell r="AG190">
            <v>60</v>
          </cell>
          <cell r="AH190">
            <v>30.5</v>
          </cell>
          <cell r="AI190">
            <v>12</v>
          </cell>
          <cell r="AJ190">
            <v>4</v>
          </cell>
          <cell r="AK190">
            <v>2.5</v>
          </cell>
          <cell r="AL190">
            <v>3</v>
          </cell>
          <cell r="AM190">
            <v>1.1000000000000001</v>
          </cell>
          <cell r="AN190">
            <v>0.4</v>
          </cell>
          <cell r="AO190">
            <v>1.74</v>
          </cell>
        </row>
        <row r="192">
          <cell r="C192">
            <v>8625.94</v>
          </cell>
          <cell r="D192">
            <v>304.02999999999997</v>
          </cell>
          <cell r="E192">
            <v>3168.64</v>
          </cell>
          <cell r="F192">
            <v>2981.12</v>
          </cell>
          <cell r="G192">
            <v>312.10000000000002</v>
          </cell>
          <cell r="H192">
            <v>2878.19</v>
          </cell>
          <cell r="I192">
            <v>1657.88</v>
          </cell>
          <cell r="J192">
            <v>1657.88</v>
          </cell>
          <cell r="K192">
            <v>86.39</v>
          </cell>
          <cell r="L192">
            <v>86.39</v>
          </cell>
          <cell r="M192">
            <v>86.39</v>
          </cell>
          <cell r="N192">
            <v>86.39</v>
          </cell>
          <cell r="O192">
            <v>994.75</v>
          </cell>
          <cell r="P192">
            <v>808.82</v>
          </cell>
          <cell r="Q192">
            <v>994.75</v>
          </cell>
          <cell r="R192">
            <v>784.37</v>
          </cell>
          <cell r="S192">
            <v>884.16</v>
          </cell>
          <cell r="T192">
            <v>21.62</v>
          </cell>
          <cell r="U192">
            <v>587.67999999999995</v>
          </cell>
          <cell r="V192">
            <v>112.37</v>
          </cell>
          <cell r="W192">
            <v>112.37</v>
          </cell>
          <cell r="X192">
            <v>112.37</v>
          </cell>
          <cell r="Y192">
            <v>99.93</v>
          </cell>
          <cell r="Z192">
            <v>112.37</v>
          </cell>
          <cell r="AA192">
            <v>120.88</v>
          </cell>
          <cell r="AB192">
            <v>120.88</v>
          </cell>
          <cell r="AC192">
            <v>120.88</v>
          </cell>
          <cell r="AD192">
            <v>120.88</v>
          </cell>
          <cell r="AE192">
            <v>120.88</v>
          </cell>
          <cell r="AF192">
            <v>120.88</v>
          </cell>
          <cell r="AG192">
            <v>1545.16</v>
          </cell>
          <cell r="AH192">
            <v>1038.71</v>
          </cell>
          <cell r="AI192">
            <v>408.06</v>
          </cell>
          <cell r="AJ192">
            <v>119.35</v>
          </cell>
          <cell r="AK192">
            <v>67.739999999999995</v>
          </cell>
          <cell r="AL192">
            <v>100</v>
          </cell>
          <cell r="AM192">
            <v>29.03</v>
          </cell>
          <cell r="AN192">
            <v>9.6</v>
          </cell>
          <cell r="AO192">
            <v>38.71</v>
          </cell>
        </row>
        <row r="194">
          <cell r="C194">
            <v>2E-3</v>
          </cell>
          <cell r="D194">
            <v>2E-3</v>
          </cell>
          <cell r="E194">
            <v>2E-3</v>
          </cell>
          <cell r="F194">
            <v>2.5700000000000001E-2</v>
          </cell>
          <cell r="G194">
            <v>3.32E-2</v>
          </cell>
          <cell r="H194">
            <v>2.75E-2</v>
          </cell>
          <cell r="I194">
            <v>2.7799999999999998E-2</v>
          </cell>
          <cell r="J194">
            <v>2.81E-2</v>
          </cell>
          <cell r="K194">
            <v>3.2000000000000001E-2</v>
          </cell>
          <cell r="L194">
            <v>3.2199999999999999E-2</v>
          </cell>
          <cell r="M194">
            <v>3.2199999999999999E-2</v>
          </cell>
          <cell r="N194">
            <v>3.2199999999999999E-2</v>
          </cell>
          <cell r="O194">
            <v>3.9E-2</v>
          </cell>
          <cell r="P194">
            <v>3.95E-2</v>
          </cell>
          <cell r="Q194">
            <v>4.1000000000000002E-2</v>
          </cell>
          <cell r="R194">
            <v>3.4299999999999997E-2</v>
          </cell>
          <cell r="S194">
            <v>4.1799999999999997E-2</v>
          </cell>
          <cell r="T194">
            <v>4.1799999999999997E-2</v>
          </cell>
          <cell r="U194">
            <v>4.2200000000000001E-2</v>
          </cell>
          <cell r="V194">
            <v>3.7100000000000001E-2</v>
          </cell>
          <cell r="W194">
            <v>3.7100000000000001E-2</v>
          </cell>
          <cell r="X194">
            <v>3.7100000000000001E-2</v>
          </cell>
          <cell r="Y194">
            <v>3.7100000000000001E-2</v>
          </cell>
          <cell r="Z194">
            <v>3.7100000000000001E-2</v>
          </cell>
          <cell r="AA194">
            <v>4.0899999999999999E-2</v>
          </cell>
          <cell r="AB194">
            <v>4.0899999999999999E-2</v>
          </cell>
          <cell r="AC194">
            <v>4.0899999999999999E-2</v>
          </cell>
          <cell r="AD194">
            <v>4.0899999999999999E-2</v>
          </cell>
          <cell r="AE194">
            <v>4.0899999999999999E-2</v>
          </cell>
          <cell r="AF194">
            <v>4.0899999999999999E-2</v>
          </cell>
          <cell r="AG194">
            <v>2E-3</v>
          </cell>
          <cell r="AH194">
            <v>2E-3</v>
          </cell>
          <cell r="AI194">
            <v>2E-3</v>
          </cell>
          <cell r="AJ194">
            <v>2E-3</v>
          </cell>
          <cell r="AK194">
            <v>2E-3</v>
          </cell>
          <cell r="AL194">
            <v>2E-3</v>
          </cell>
          <cell r="AM194">
            <v>2E-3</v>
          </cell>
          <cell r="AN194">
            <v>2E-3</v>
          </cell>
          <cell r="AO194">
            <v>2E-3</v>
          </cell>
        </row>
        <row r="205">
          <cell r="C205" t="str">
            <v xml:space="preserve">H-PAUTE </v>
          </cell>
          <cell r="D205" t="str">
            <v>H-PUCARA</v>
          </cell>
          <cell r="E205" t="str">
            <v>H-NACION</v>
          </cell>
          <cell r="F205" t="str">
            <v>E-TRINIT</v>
          </cell>
          <cell r="G205" t="str">
            <v>IN-COLOM</v>
          </cell>
          <cell r="H205" t="str">
            <v xml:space="preserve">T-ESMER </v>
          </cell>
          <cell r="I205" t="str">
            <v>E.GZ.TV3</v>
          </cell>
          <cell r="J205" t="str">
            <v>E.GZ.TV2</v>
          </cell>
          <cell r="K205" t="str">
            <v>CSURDES1</v>
          </cell>
          <cell r="L205" t="str">
            <v>CSURDES2</v>
          </cell>
          <cell r="M205" t="str">
            <v>CSURDES3</v>
          </cell>
          <cell r="N205" t="str">
            <v>CSURDES4</v>
          </cell>
          <cell r="O205" t="str">
            <v>E.VASANT</v>
          </cell>
          <cell r="P205" t="str">
            <v>TPGUANG2</v>
          </cell>
          <cell r="Q205" t="str">
            <v>TPGUANG3</v>
          </cell>
          <cell r="R205" t="str">
            <v>TPGUANG4</v>
          </cell>
          <cell r="S205" t="str">
            <v>TPGUANG5</v>
          </cell>
          <cell r="T205" t="str">
            <v>TPGUANG6</v>
          </cell>
          <cell r="U205" t="str">
            <v>AGOYAN_H</v>
          </cell>
          <cell r="V205" t="str">
            <v>EEQ_HIDR</v>
          </cell>
          <cell r="W205" t="str">
            <v xml:space="preserve">C-SUR_H </v>
          </cell>
          <cell r="X205" t="str">
            <v>RIOBAM_H</v>
          </cell>
          <cell r="Y205" t="str">
            <v>COTOPX_H</v>
          </cell>
          <cell r="Z205" t="str">
            <v>RNORTE_H</v>
          </cell>
          <cell r="AA205" t="str">
            <v>AMBATO_H</v>
          </cell>
          <cell r="AB205" t="str">
            <v>BOLIVR_H</v>
          </cell>
          <cell r="AC205" t="str">
            <v xml:space="preserve">R-SUR_H </v>
          </cell>
        </row>
        <row r="207">
          <cell r="C207">
            <v>360.99</v>
          </cell>
          <cell r="D207">
            <v>0</v>
          </cell>
          <cell r="E207">
            <v>0</v>
          </cell>
          <cell r="F207">
            <v>124.21</v>
          </cell>
          <cell r="G207">
            <v>0</v>
          </cell>
          <cell r="H207">
            <v>119.92</v>
          </cell>
          <cell r="I207">
            <v>69.08</v>
          </cell>
          <cell r="J207">
            <v>69.08</v>
          </cell>
          <cell r="K207">
            <v>3.6</v>
          </cell>
          <cell r="L207">
            <v>3.6</v>
          </cell>
          <cell r="M207">
            <v>3.6</v>
          </cell>
          <cell r="N207">
            <v>3.6</v>
          </cell>
          <cell r="O207">
            <v>32.68</v>
          </cell>
          <cell r="P207">
            <v>4.68</v>
          </cell>
          <cell r="Q207">
            <v>4.68</v>
          </cell>
          <cell r="R207">
            <v>4.68</v>
          </cell>
          <cell r="S207">
            <v>4.16</v>
          </cell>
          <cell r="T207">
            <v>4.68</v>
          </cell>
          <cell r="U207">
            <v>60</v>
          </cell>
          <cell r="V207">
            <v>30.5</v>
          </cell>
          <cell r="W207">
            <v>12</v>
          </cell>
          <cell r="X207">
            <v>4</v>
          </cell>
          <cell r="Y207">
            <v>2.5</v>
          </cell>
          <cell r="Z207">
            <v>3</v>
          </cell>
          <cell r="AA207">
            <v>1.1000000000000001</v>
          </cell>
          <cell r="AB207">
            <v>0.4</v>
          </cell>
          <cell r="AC207">
            <v>0.9</v>
          </cell>
        </row>
        <row r="208">
          <cell r="C208">
            <v>325.02999999999997</v>
          </cell>
          <cell r="D208">
            <v>0</v>
          </cell>
          <cell r="E208">
            <v>0</v>
          </cell>
          <cell r="F208">
            <v>124.21</v>
          </cell>
          <cell r="G208">
            <v>0</v>
          </cell>
          <cell r="H208">
            <v>119.92</v>
          </cell>
          <cell r="I208">
            <v>69.08</v>
          </cell>
          <cell r="J208">
            <v>69.08</v>
          </cell>
          <cell r="K208">
            <v>3.6</v>
          </cell>
          <cell r="L208">
            <v>3.6</v>
          </cell>
          <cell r="M208">
            <v>3.6</v>
          </cell>
          <cell r="N208">
            <v>3.6</v>
          </cell>
          <cell r="O208">
            <v>32.68</v>
          </cell>
          <cell r="P208">
            <v>4.68</v>
          </cell>
          <cell r="Q208">
            <v>4.68</v>
          </cell>
          <cell r="R208">
            <v>4.68</v>
          </cell>
          <cell r="S208">
            <v>4.16</v>
          </cell>
          <cell r="T208">
            <v>4.68</v>
          </cell>
          <cell r="U208">
            <v>60</v>
          </cell>
          <cell r="V208">
            <v>30.5</v>
          </cell>
          <cell r="W208">
            <v>12</v>
          </cell>
          <cell r="X208">
            <v>4</v>
          </cell>
          <cell r="Y208">
            <v>2.5</v>
          </cell>
          <cell r="Z208">
            <v>3</v>
          </cell>
          <cell r="AA208">
            <v>1.1000000000000001</v>
          </cell>
          <cell r="AB208">
            <v>0.4</v>
          </cell>
          <cell r="AC208">
            <v>0.9</v>
          </cell>
        </row>
        <row r="209">
          <cell r="C209">
            <v>289.27999999999997</v>
          </cell>
          <cell r="D209">
            <v>0</v>
          </cell>
          <cell r="E209">
            <v>0</v>
          </cell>
          <cell r="F209">
            <v>124.21</v>
          </cell>
          <cell r="G209">
            <v>0</v>
          </cell>
          <cell r="H209">
            <v>119.92</v>
          </cell>
          <cell r="I209">
            <v>69.08</v>
          </cell>
          <cell r="J209">
            <v>69.08</v>
          </cell>
          <cell r="K209">
            <v>3.6</v>
          </cell>
          <cell r="L209">
            <v>3.6</v>
          </cell>
          <cell r="M209">
            <v>3.6</v>
          </cell>
          <cell r="N209">
            <v>3.6</v>
          </cell>
          <cell r="O209">
            <v>32.68</v>
          </cell>
          <cell r="P209">
            <v>4.68</v>
          </cell>
          <cell r="Q209">
            <v>4.68</v>
          </cell>
          <cell r="R209">
            <v>4.68</v>
          </cell>
          <cell r="S209">
            <v>4.16</v>
          </cell>
          <cell r="T209">
            <v>4.68</v>
          </cell>
          <cell r="U209">
            <v>60</v>
          </cell>
          <cell r="V209">
            <v>30.5</v>
          </cell>
          <cell r="W209">
            <v>12</v>
          </cell>
          <cell r="X209">
            <v>4</v>
          </cell>
          <cell r="Y209">
            <v>2.5</v>
          </cell>
          <cell r="Z209">
            <v>3</v>
          </cell>
          <cell r="AA209">
            <v>1.1000000000000001</v>
          </cell>
          <cell r="AB209">
            <v>0.4</v>
          </cell>
          <cell r="AC209">
            <v>0.9</v>
          </cell>
        </row>
        <row r="210">
          <cell r="C210">
            <v>277.66000000000003</v>
          </cell>
          <cell r="D210">
            <v>0</v>
          </cell>
          <cell r="E210">
            <v>0</v>
          </cell>
          <cell r="F210">
            <v>124.21</v>
          </cell>
          <cell r="G210">
            <v>0</v>
          </cell>
          <cell r="H210">
            <v>119.92</v>
          </cell>
          <cell r="I210">
            <v>69.08</v>
          </cell>
          <cell r="J210">
            <v>69.08</v>
          </cell>
          <cell r="K210">
            <v>3.6</v>
          </cell>
          <cell r="L210">
            <v>3.6</v>
          </cell>
          <cell r="M210">
            <v>3.6</v>
          </cell>
          <cell r="N210">
            <v>3.6</v>
          </cell>
          <cell r="O210">
            <v>32.68</v>
          </cell>
          <cell r="P210">
            <v>4.68</v>
          </cell>
          <cell r="Q210">
            <v>4.68</v>
          </cell>
          <cell r="R210">
            <v>4.68</v>
          </cell>
          <cell r="S210">
            <v>4.16</v>
          </cell>
          <cell r="T210">
            <v>4.68</v>
          </cell>
          <cell r="U210">
            <v>60</v>
          </cell>
          <cell r="V210">
            <v>30.5</v>
          </cell>
          <cell r="W210">
            <v>12</v>
          </cell>
          <cell r="X210">
            <v>4</v>
          </cell>
          <cell r="Y210">
            <v>2.5</v>
          </cell>
          <cell r="Z210">
            <v>3</v>
          </cell>
          <cell r="AA210">
            <v>1.1000000000000001</v>
          </cell>
          <cell r="AB210">
            <v>0.4</v>
          </cell>
          <cell r="AC210">
            <v>1.3</v>
          </cell>
        </row>
        <row r="211">
          <cell r="C211">
            <v>266.11</v>
          </cell>
          <cell r="D211">
            <v>0</v>
          </cell>
          <cell r="E211">
            <v>0</v>
          </cell>
          <cell r="F211">
            <v>124.21</v>
          </cell>
          <cell r="G211">
            <v>0</v>
          </cell>
          <cell r="H211">
            <v>119.92</v>
          </cell>
          <cell r="I211">
            <v>69.08</v>
          </cell>
          <cell r="J211">
            <v>69.08</v>
          </cell>
          <cell r="K211">
            <v>3.6</v>
          </cell>
          <cell r="L211">
            <v>3.6</v>
          </cell>
          <cell r="M211">
            <v>3.6</v>
          </cell>
          <cell r="N211">
            <v>3.6</v>
          </cell>
          <cell r="O211">
            <v>32.68</v>
          </cell>
          <cell r="P211">
            <v>4.68</v>
          </cell>
          <cell r="Q211">
            <v>4.68</v>
          </cell>
          <cell r="R211">
            <v>4.68</v>
          </cell>
          <cell r="S211">
            <v>4.16</v>
          </cell>
          <cell r="T211">
            <v>4.68</v>
          </cell>
          <cell r="U211">
            <v>60</v>
          </cell>
          <cell r="V211">
            <v>30.5</v>
          </cell>
          <cell r="W211">
            <v>12</v>
          </cell>
          <cell r="X211">
            <v>4</v>
          </cell>
          <cell r="Y211">
            <v>2.5</v>
          </cell>
          <cell r="Z211">
            <v>3</v>
          </cell>
          <cell r="AA211">
            <v>1.1000000000000001</v>
          </cell>
          <cell r="AB211">
            <v>0.4</v>
          </cell>
          <cell r="AC211">
            <v>1.74</v>
          </cell>
        </row>
        <row r="212">
          <cell r="C212">
            <v>270.86</v>
          </cell>
          <cell r="D212">
            <v>0</v>
          </cell>
          <cell r="E212">
            <v>0</v>
          </cell>
          <cell r="F212">
            <v>124.21</v>
          </cell>
          <cell r="G212">
            <v>0</v>
          </cell>
          <cell r="H212">
            <v>119.92</v>
          </cell>
          <cell r="I212">
            <v>69.08</v>
          </cell>
          <cell r="J212">
            <v>69.08</v>
          </cell>
          <cell r="K212">
            <v>3.6</v>
          </cell>
          <cell r="L212">
            <v>3.6</v>
          </cell>
          <cell r="M212">
            <v>3.6</v>
          </cell>
          <cell r="N212">
            <v>3.6</v>
          </cell>
          <cell r="O212">
            <v>32.68</v>
          </cell>
          <cell r="P212">
            <v>4.68</v>
          </cell>
          <cell r="Q212">
            <v>4.68</v>
          </cell>
          <cell r="R212">
            <v>4.68</v>
          </cell>
          <cell r="S212">
            <v>4.16</v>
          </cell>
          <cell r="T212">
            <v>4.68</v>
          </cell>
          <cell r="U212">
            <v>60</v>
          </cell>
          <cell r="V212">
            <v>30.5</v>
          </cell>
          <cell r="W212">
            <v>12</v>
          </cell>
          <cell r="X212">
            <v>4</v>
          </cell>
          <cell r="Y212">
            <v>2.5</v>
          </cell>
          <cell r="Z212">
            <v>3</v>
          </cell>
          <cell r="AA212">
            <v>1.1000000000000001</v>
          </cell>
          <cell r="AB212">
            <v>0.4</v>
          </cell>
          <cell r="AC212">
            <v>1.74</v>
          </cell>
        </row>
        <row r="213">
          <cell r="C213">
            <v>231.37</v>
          </cell>
          <cell r="D213">
            <v>0</v>
          </cell>
          <cell r="E213">
            <v>0</v>
          </cell>
          <cell r="F213">
            <v>124.21</v>
          </cell>
          <cell r="G213">
            <v>0</v>
          </cell>
          <cell r="H213">
            <v>119.92</v>
          </cell>
          <cell r="I213">
            <v>69.08</v>
          </cell>
          <cell r="J213">
            <v>69.08</v>
          </cell>
          <cell r="K213">
            <v>3.6</v>
          </cell>
          <cell r="L213">
            <v>3.6</v>
          </cell>
          <cell r="M213">
            <v>3.6</v>
          </cell>
          <cell r="N213">
            <v>3.6</v>
          </cell>
          <cell r="O213">
            <v>32.68</v>
          </cell>
          <cell r="P213">
            <v>4.68</v>
          </cell>
          <cell r="Q213">
            <v>4.68</v>
          </cell>
          <cell r="R213">
            <v>4.68</v>
          </cell>
          <cell r="S213">
            <v>4.16</v>
          </cell>
          <cell r="T213">
            <v>4.68</v>
          </cell>
          <cell r="U213">
            <v>60</v>
          </cell>
          <cell r="V213">
            <v>30.5</v>
          </cell>
          <cell r="W213">
            <v>12</v>
          </cell>
          <cell r="X213">
            <v>4</v>
          </cell>
          <cell r="Y213">
            <v>2.5</v>
          </cell>
          <cell r="Z213">
            <v>3</v>
          </cell>
          <cell r="AA213">
            <v>1.1000000000000001</v>
          </cell>
          <cell r="AB213">
            <v>0.4</v>
          </cell>
          <cell r="AC213">
            <v>1.74</v>
          </cell>
        </row>
        <row r="214">
          <cell r="C214">
            <v>264.70999999999998</v>
          </cell>
          <cell r="D214">
            <v>0</v>
          </cell>
          <cell r="E214">
            <v>0</v>
          </cell>
          <cell r="F214">
            <v>124.21</v>
          </cell>
          <cell r="G214">
            <v>0</v>
          </cell>
          <cell r="H214">
            <v>119.92</v>
          </cell>
          <cell r="I214">
            <v>69.08</v>
          </cell>
          <cell r="J214">
            <v>69.08</v>
          </cell>
          <cell r="K214">
            <v>3.6</v>
          </cell>
          <cell r="L214">
            <v>3.6</v>
          </cell>
          <cell r="M214">
            <v>3.6</v>
          </cell>
          <cell r="N214">
            <v>3.6</v>
          </cell>
          <cell r="O214">
            <v>32.68</v>
          </cell>
          <cell r="P214">
            <v>4.68</v>
          </cell>
          <cell r="Q214">
            <v>4.68</v>
          </cell>
          <cell r="R214">
            <v>4.68</v>
          </cell>
          <cell r="S214">
            <v>4.16</v>
          </cell>
          <cell r="T214">
            <v>4.68</v>
          </cell>
          <cell r="U214">
            <v>60</v>
          </cell>
          <cell r="V214">
            <v>30.5</v>
          </cell>
          <cell r="W214">
            <v>12</v>
          </cell>
          <cell r="X214">
            <v>4</v>
          </cell>
          <cell r="Y214">
            <v>2.5</v>
          </cell>
          <cell r="Z214">
            <v>3</v>
          </cell>
          <cell r="AA214">
            <v>1.1000000000000001</v>
          </cell>
          <cell r="AB214">
            <v>0.4</v>
          </cell>
          <cell r="AC214">
            <v>1.74</v>
          </cell>
        </row>
        <row r="215">
          <cell r="C215">
            <v>294.77</v>
          </cell>
          <cell r="D215">
            <v>0</v>
          </cell>
          <cell r="E215">
            <v>0</v>
          </cell>
          <cell r="F215">
            <v>124.21</v>
          </cell>
          <cell r="G215">
            <v>0</v>
          </cell>
          <cell r="H215">
            <v>119.92</v>
          </cell>
          <cell r="I215">
            <v>69.08</v>
          </cell>
          <cell r="J215">
            <v>69.08</v>
          </cell>
          <cell r="K215">
            <v>3.6</v>
          </cell>
          <cell r="L215">
            <v>3.6</v>
          </cell>
          <cell r="M215">
            <v>3.6</v>
          </cell>
          <cell r="N215">
            <v>3.6</v>
          </cell>
          <cell r="O215">
            <v>32.68</v>
          </cell>
          <cell r="P215">
            <v>4.68</v>
          </cell>
          <cell r="Q215">
            <v>4.68</v>
          </cell>
          <cell r="R215">
            <v>4.68</v>
          </cell>
          <cell r="S215">
            <v>4.16</v>
          </cell>
          <cell r="T215">
            <v>4.68</v>
          </cell>
          <cell r="U215">
            <v>60</v>
          </cell>
          <cell r="V215">
            <v>30.5</v>
          </cell>
          <cell r="W215">
            <v>12</v>
          </cell>
          <cell r="X215">
            <v>4</v>
          </cell>
          <cell r="Y215">
            <v>2.5</v>
          </cell>
          <cell r="Z215">
            <v>3</v>
          </cell>
          <cell r="AA215">
            <v>1.1000000000000001</v>
          </cell>
          <cell r="AB215">
            <v>0.4</v>
          </cell>
          <cell r="AC215">
            <v>1.74</v>
          </cell>
        </row>
        <row r="216">
          <cell r="C216">
            <v>291.49</v>
          </cell>
          <cell r="D216">
            <v>0</v>
          </cell>
          <cell r="E216">
            <v>0</v>
          </cell>
          <cell r="F216">
            <v>124.21</v>
          </cell>
          <cell r="G216">
            <v>24.01</v>
          </cell>
          <cell r="H216">
            <v>119.92</v>
          </cell>
          <cell r="I216">
            <v>69.08</v>
          </cell>
          <cell r="J216">
            <v>69.08</v>
          </cell>
          <cell r="K216">
            <v>3.6</v>
          </cell>
          <cell r="L216">
            <v>3.6</v>
          </cell>
          <cell r="M216">
            <v>3.6</v>
          </cell>
          <cell r="N216">
            <v>3.6</v>
          </cell>
          <cell r="O216">
            <v>32.68</v>
          </cell>
          <cell r="P216">
            <v>4.68</v>
          </cell>
          <cell r="Q216">
            <v>4.68</v>
          </cell>
          <cell r="R216">
            <v>4.68</v>
          </cell>
          <cell r="S216">
            <v>4.16</v>
          </cell>
          <cell r="T216">
            <v>4.68</v>
          </cell>
          <cell r="U216">
            <v>60</v>
          </cell>
          <cell r="V216">
            <v>30.5</v>
          </cell>
          <cell r="W216">
            <v>12</v>
          </cell>
          <cell r="X216">
            <v>4</v>
          </cell>
          <cell r="Y216">
            <v>2.5</v>
          </cell>
          <cell r="Z216">
            <v>3</v>
          </cell>
          <cell r="AA216">
            <v>1.1000000000000001</v>
          </cell>
          <cell r="AB216">
            <v>0.4</v>
          </cell>
          <cell r="AC216">
            <v>1.74</v>
          </cell>
        </row>
        <row r="217">
          <cell r="C217">
            <v>175.81</v>
          </cell>
          <cell r="D217">
            <v>0</v>
          </cell>
          <cell r="E217">
            <v>120</v>
          </cell>
          <cell r="F217">
            <v>124.21</v>
          </cell>
          <cell r="G217">
            <v>24.01</v>
          </cell>
          <cell r="H217">
            <v>119.92</v>
          </cell>
          <cell r="I217">
            <v>69.08</v>
          </cell>
          <cell r="J217">
            <v>69.08</v>
          </cell>
          <cell r="K217">
            <v>3.6</v>
          </cell>
          <cell r="L217">
            <v>3.6</v>
          </cell>
          <cell r="M217">
            <v>3.6</v>
          </cell>
          <cell r="N217">
            <v>3.6</v>
          </cell>
          <cell r="O217">
            <v>32.68</v>
          </cell>
          <cell r="P217">
            <v>4.3899999999999997</v>
          </cell>
          <cell r="Q217">
            <v>4.68</v>
          </cell>
          <cell r="R217">
            <v>4.68</v>
          </cell>
          <cell r="S217">
            <v>4.16</v>
          </cell>
          <cell r="T217">
            <v>4.68</v>
          </cell>
          <cell r="U217">
            <v>60</v>
          </cell>
          <cell r="V217">
            <v>30.5</v>
          </cell>
          <cell r="W217">
            <v>12</v>
          </cell>
          <cell r="X217">
            <v>4</v>
          </cell>
          <cell r="Y217">
            <v>2.5</v>
          </cell>
          <cell r="Z217">
            <v>3</v>
          </cell>
          <cell r="AA217">
            <v>1.1000000000000001</v>
          </cell>
          <cell r="AB217">
            <v>0.4</v>
          </cell>
          <cell r="AC217">
            <v>1.74</v>
          </cell>
        </row>
        <row r="218">
          <cell r="C218">
            <v>140.61000000000001</v>
          </cell>
          <cell r="D218">
            <v>0</v>
          </cell>
          <cell r="E218">
            <v>163.53</v>
          </cell>
          <cell r="F218">
            <v>124.21</v>
          </cell>
          <cell r="G218">
            <v>24.01</v>
          </cell>
          <cell r="H218">
            <v>119.92</v>
          </cell>
          <cell r="I218">
            <v>69.08</v>
          </cell>
          <cell r="J218">
            <v>69.08</v>
          </cell>
          <cell r="K218">
            <v>3.6</v>
          </cell>
          <cell r="L218">
            <v>3.6</v>
          </cell>
          <cell r="M218">
            <v>3.6</v>
          </cell>
          <cell r="N218">
            <v>3.6</v>
          </cell>
          <cell r="O218">
            <v>32.68</v>
          </cell>
          <cell r="P218">
            <v>0</v>
          </cell>
          <cell r="Q218">
            <v>4.68</v>
          </cell>
          <cell r="R218">
            <v>4.68</v>
          </cell>
          <cell r="S218">
            <v>4.16</v>
          </cell>
          <cell r="T218">
            <v>4.68</v>
          </cell>
          <cell r="U218">
            <v>60</v>
          </cell>
          <cell r="V218">
            <v>30.5</v>
          </cell>
          <cell r="W218">
            <v>12</v>
          </cell>
          <cell r="X218">
            <v>5.74</v>
          </cell>
          <cell r="Y218">
            <v>2.5</v>
          </cell>
          <cell r="Z218">
            <v>3</v>
          </cell>
          <cell r="AA218">
            <v>1.29</v>
          </cell>
          <cell r="AB218">
            <v>0.4</v>
          </cell>
          <cell r="AC218">
            <v>1.74</v>
          </cell>
        </row>
        <row r="219">
          <cell r="C219">
            <v>104.6</v>
          </cell>
          <cell r="D219">
            <v>0</v>
          </cell>
          <cell r="E219">
            <v>205.58</v>
          </cell>
          <cell r="F219">
            <v>124.21</v>
          </cell>
          <cell r="G219">
            <v>24.01</v>
          </cell>
          <cell r="H219">
            <v>119.92</v>
          </cell>
          <cell r="I219">
            <v>69.08</v>
          </cell>
          <cell r="J219">
            <v>69.08</v>
          </cell>
          <cell r="K219">
            <v>3.6</v>
          </cell>
          <cell r="L219">
            <v>3.6</v>
          </cell>
          <cell r="M219">
            <v>3.6</v>
          </cell>
          <cell r="N219">
            <v>3.6</v>
          </cell>
          <cell r="O219">
            <v>32.68</v>
          </cell>
          <cell r="P219">
            <v>0</v>
          </cell>
          <cell r="Q219">
            <v>4.68</v>
          </cell>
          <cell r="R219">
            <v>4.68</v>
          </cell>
          <cell r="S219">
            <v>4.16</v>
          </cell>
          <cell r="T219">
            <v>4.68</v>
          </cell>
          <cell r="U219">
            <v>60</v>
          </cell>
          <cell r="V219">
            <v>30.5</v>
          </cell>
          <cell r="W219">
            <v>12</v>
          </cell>
          <cell r="X219">
            <v>6.16</v>
          </cell>
          <cell r="Y219">
            <v>2.5</v>
          </cell>
          <cell r="Z219">
            <v>3</v>
          </cell>
          <cell r="AA219">
            <v>1.34</v>
          </cell>
          <cell r="AB219">
            <v>0.4</v>
          </cell>
          <cell r="AC219">
            <v>1.74</v>
          </cell>
        </row>
        <row r="220">
          <cell r="C220">
            <v>92.41</v>
          </cell>
          <cell r="D220">
            <v>0</v>
          </cell>
          <cell r="E220">
            <v>205.58</v>
          </cell>
          <cell r="F220">
            <v>124.21</v>
          </cell>
          <cell r="G220">
            <v>24.01</v>
          </cell>
          <cell r="H220">
            <v>119.92</v>
          </cell>
          <cell r="I220">
            <v>69.08</v>
          </cell>
          <cell r="J220">
            <v>69.08</v>
          </cell>
          <cell r="K220">
            <v>3.6</v>
          </cell>
          <cell r="L220">
            <v>3.6</v>
          </cell>
          <cell r="M220">
            <v>3.6</v>
          </cell>
          <cell r="N220">
            <v>3.6</v>
          </cell>
          <cell r="O220">
            <v>32.68</v>
          </cell>
          <cell r="P220">
            <v>4.68</v>
          </cell>
          <cell r="Q220">
            <v>4.68</v>
          </cell>
          <cell r="R220">
            <v>4.68</v>
          </cell>
          <cell r="S220">
            <v>4.16</v>
          </cell>
          <cell r="T220">
            <v>4.68</v>
          </cell>
          <cell r="U220">
            <v>60</v>
          </cell>
          <cell r="V220">
            <v>30.5</v>
          </cell>
          <cell r="W220">
            <v>12</v>
          </cell>
          <cell r="X220">
            <v>6.16</v>
          </cell>
          <cell r="Y220">
            <v>2.5</v>
          </cell>
          <cell r="Z220">
            <v>3</v>
          </cell>
          <cell r="AA220">
            <v>1.34</v>
          </cell>
          <cell r="AB220">
            <v>0.4</v>
          </cell>
          <cell r="AC220">
            <v>1.74</v>
          </cell>
        </row>
        <row r="221">
          <cell r="C221">
            <v>79.569999999999993</v>
          </cell>
          <cell r="D221">
            <v>0</v>
          </cell>
          <cell r="E221">
            <v>205.58</v>
          </cell>
          <cell r="F221">
            <v>124.21</v>
          </cell>
          <cell r="G221">
            <v>24.01</v>
          </cell>
          <cell r="H221">
            <v>119.92</v>
          </cell>
          <cell r="I221">
            <v>69.08</v>
          </cell>
          <cell r="J221">
            <v>69.08</v>
          </cell>
          <cell r="K221">
            <v>3.6</v>
          </cell>
          <cell r="L221">
            <v>3.6</v>
          </cell>
          <cell r="M221">
            <v>3.6</v>
          </cell>
          <cell r="N221">
            <v>3.6</v>
          </cell>
          <cell r="O221">
            <v>32.68</v>
          </cell>
          <cell r="P221">
            <v>4.68</v>
          </cell>
          <cell r="Q221">
            <v>4.68</v>
          </cell>
          <cell r="R221">
            <v>4.68</v>
          </cell>
          <cell r="S221">
            <v>4.16</v>
          </cell>
          <cell r="T221">
            <v>4.68</v>
          </cell>
          <cell r="U221">
            <v>60</v>
          </cell>
          <cell r="V221">
            <v>30.5</v>
          </cell>
          <cell r="W221">
            <v>12</v>
          </cell>
          <cell r="X221">
            <v>6.16</v>
          </cell>
          <cell r="Y221">
            <v>2.5</v>
          </cell>
          <cell r="Z221">
            <v>3</v>
          </cell>
          <cell r="AA221">
            <v>1.34</v>
          </cell>
          <cell r="AB221">
            <v>0.4</v>
          </cell>
          <cell r="AC221">
            <v>1.74</v>
          </cell>
        </row>
        <row r="222">
          <cell r="C222">
            <v>32.159999999999997</v>
          </cell>
          <cell r="D222">
            <v>0</v>
          </cell>
          <cell r="E222">
            <v>205.58</v>
          </cell>
          <cell r="F222">
            <v>124.21</v>
          </cell>
          <cell r="G222">
            <v>24.01</v>
          </cell>
          <cell r="H222">
            <v>119.92</v>
          </cell>
          <cell r="I222">
            <v>69.08</v>
          </cell>
          <cell r="J222">
            <v>69.08</v>
          </cell>
          <cell r="K222">
            <v>3.6</v>
          </cell>
          <cell r="L222">
            <v>3.6</v>
          </cell>
          <cell r="M222">
            <v>3.6</v>
          </cell>
          <cell r="N222">
            <v>3.6</v>
          </cell>
          <cell r="O222">
            <v>32.68</v>
          </cell>
          <cell r="P222">
            <v>4.68</v>
          </cell>
          <cell r="Q222">
            <v>4.68</v>
          </cell>
          <cell r="R222">
            <v>4.68</v>
          </cell>
          <cell r="S222">
            <v>4.16</v>
          </cell>
          <cell r="T222">
            <v>4.68</v>
          </cell>
          <cell r="U222">
            <v>60</v>
          </cell>
          <cell r="V222">
            <v>69.459999999999994</v>
          </cell>
          <cell r="W222">
            <v>12</v>
          </cell>
          <cell r="X222">
            <v>6.16</v>
          </cell>
          <cell r="Y222">
            <v>2.5</v>
          </cell>
          <cell r="Z222">
            <v>3</v>
          </cell>
          <cell r="AA222">
            <v>1.34</v>
          </cell>
          <cell r="AB222">
            <v>0.4</v>
          </cell>
          <cell r="AC222">
            <v>1.74</v>
          </cell>
        </row>
        <row r="223">
          <cell r="C223">
            <v>39.950000000000003</v>
          </cell>
          <cell r="D223">
            <v>0</v>
          </cell>
          <cell r="E223">
            <v>205.58</v>
          </cell>
          <cell r="F223">
            <v>124.21</v>
          </cell>
          <cell r="G223">
            <v>24.01</v>
          </cell>
          <cell r="H223">
            <v>119.92</v>
          </cell>
          <cell r="I223">
            <v>69.08</v>
          </cell>
          <cell r="J223">
            <v>69.08</v>
          </cell>
          <cell r="K223">
            <v>3.6</v>
          </cell>
          <cell r="L223">
            <v>3.6</v>
          </cell>
          <cell r="M223">
            <v>3.6</v>
          </cell>
          <cell r="N223">
            <v>3.6</v>
          </cell>
          <cell r="O223">
            <v>32.68</v>
          </cell>
          <cell r="P223">
            <v>4.68</v>
          </cell>
          <cell r="Q223">
            <v>4.68</v>
          </cell>
          <cell r="R223">
            <v>4.68</v>
          </cell>
          <cell r="S223">
            <v>4.16</v>
          </cell>
          <cell r="T223">
            <v>4.68</v>
          </cell>
          <cell r="U223">
            <v>60</v>
          </cell>
          <cell r="V223">
            <v>75.12</v>
          </cell>
          <cell r="W223">
            <v>12</v>
          </cell>
          <cell r="X223">
            <v>6.16</v>
          </cell>
          <cell r="Y223">
            <v>2.5</v>
          </cell>
          <cell r="Z223">
            <v>3</v>
          </cell>
          <cell r="AA223">
            <v>1.34</v>
          </cell>
          <cell r="AB223">
            <v>0.4</v>
          </cell>
          <cell r="AC223">
            <v>1.74</v>
          </cell>
        </row>
        <row r="224">
          <cell r="C224">
            <v>120.19</v>
          </cell>
          <cell r="D224">
            <v>0</v>
          </cell>
          <cell r="E224">
            <v>205.58</v>
          </cell>
          <cell r="F224">
            <v>124.21</v>
          </cell>
          <cell r="G224">
            <v>24.01</v>
          </cell>
          <cell r="H224">
            <v>119.92</v>
          </cell>
          <cell r="I224">
            <v>69.08</v>
          </cell>
          <cell r="J224">
            <v>69.08</v>
          </cell>
          <cell r="K224">
            <v>3.6</v>
          </cell>
          <cell r="L224">
            <v>3.6</v>
          </cell>
          <cell r="M224">
            <v>3.6</v>
          </cell>
          <cell r="N224">
            <v>3.6</v>
          </cell>
          <cell r="O224">
            <v>32.68</v>
          </cell>
          <cell r="P224">
            <v>4.68</v>
          </cell>
          <cell r="Q224">
            <v>4.68</v>
          </cell>
          <cell r="R224">
            <v>4.68</v>
          </cell>
          <cell r="S224">
            <v>4.16</v>
          </cell>
          <cell r="T224">
            <v>4.68</v>
          </cell>
          <cell r="U224">
            <v>60</v>
          </cell>
          <cell r="V224">
            <v>75.12</v>
          </cell>
          <cell r="W224">
            <v>31.88</v>
          </cell>
          <cell r="X224">
            <v>6.16</v>
          </cell>
          <cell r="Y224">
            <v>2.5</v>
          </cell>
          <cell r="Z224">
            <v>3</v>
          </cell>
          <cell r="AA224">
            <v>1.34</v>
          </cell>
          <cell r="AB224">
            <v>0.4</v>
          </cell>
          <cell r="AC224">
            <v>1.74</v>
          </cell>
        </row>
        <row r="225">
          <cell r="C225">
            <v>522.19000000000005</v>
          </cell>
          <cell r="D225">
            <v>13.51</v>
          </cell>
          <cell r="E225">
            <v>205.58</v>
          </cell>
          <cell r="F225">
            <v>124.21</v>
          </cell>
          <cell r="G225">
            <v>24.01</v>
          </cell>
          <cell r="H225">
            <v>119.92</v>
          </cell>
          <cell r="I225">
            <v>69.08</v>
          </cell>
          <cell r="J225">
            <v>69.08</v>
          </cell>
          <cell r="K225">
            <v>3.6</v>
          </cell>
          <cell r="L225">
            <v>3.6</v>
          </cell>
          <cell r="M225">
            <v>3.6</v>
          </cell>
          <cell r="N225">
            <v>3.6</v>
          </cell>
          <cell r="O225">
            <v>32.68</v>
          </cell>
          <cell r="P225">
            <v>4.68</v>
          </cell>
          <cell r="Q225">
            <v>4.68</v>
          </cell>
          <cell r="R225">
            <v>4.68</v>
          </cell>
          <cell r="S225">
            <v>4.16</v>
          </cell>
          <cell r="T225">
            <v>4.68</v>
          </cell>
          <cell r="U225">
            <v>154.4</v>
          </cell>
          <cell r="V225">
            <v>75.12</v>
          </cell>
          <cell r="W225">
            <v>37.049999999999997</v>
          </cell>
          <cell r="X225">
            <v>6.16</v>
          </cell>
          <cell r="Y225">
            <v>4.82</v>
          </cell>
          <cell r="Z225">
            <v>10.029999999999999</v>
          </cell>
          <cell r="AA225">
            <v>1.34</v>
          </cell>
          <cell r="AB225">
            <v>0.4</v>
          </cell>
          <cell r="AC225">
            <v>1.74</v>
          </cell>
        </row>
        <row r="226">
          <cell r="C226">
            <v>544.39</v>
          </cell>
          <cell r="D226">
            <v>70.31</v>
          </cell>
          <cell r="E226">
            <v>205.58</v>
          </cell>
          <cell r="F226">
            <v>124.21</v>
          </cell>
          <cell r="G226">
            <v>24.01</v>
          </cell>
          <cell r="H226">
            <v>119.92</v>
          </cell>
          <cell r="I226">
            <v>69.08</v>
          </cell>
          <cell r="J226">
            <v>69.08</v>
          </cell>
          <cell r="K226">
            <v>3.6</v>
          </cell>
          <cell r="L226">
            <v>3.6</v>
          </cell>
          <cell r="M226">
            <v>3.6</v>
          </cell>
          <cell r="N226">
            <v>3.6</v>
          </cell>
          <cell r="O226">
            <v>32.68</v>
          </cell>
          <cell r="P226">
            <v>4.68</v>
          </cell>
          <cell r="Q226">
            <v>4.68</v>
          </cell>
          <cell r="R226">
            <v>4.68</v>
          </cell>
          <cell r="S226">
            <v>4.16</v>
          </cell>
          <cell r="T226">
            <v>4.68</v>
          </cell>
          <cell r="U226">
            <v>70.760000000000005</v>
          </cell>
          <cell r="V226">
            <v>75.12</v>
          </cell>
          <cell r="W226">
            <v>37.049999999999997</v>
          </cell>
          <cell r="X226">
            <v>6.16</v>
          </cell>
          <cell r="Y226">
            <v>4.82</v>
          </cell>
          <cell r="Z226">
            <v>10.029999999999999</v>
          </cell>
          <cell r="AA226">
            <v>1.34</v>
          </cell>
          <cell r="AB226">
            <v>0.4</v>
          </cell>
          <cell r="AC226">
            <v>1.74</v>
          </cell>
        </row>
        <row r="227">
          <cell r="C227">
            <v>474.52</v>
          </cell>
          <cell r="D227">
            <v>70.31</v>
          </cell>
          <cell r="E227">
            <v>205.58</v>
          </cell>
          <cell r="F227">
            <v>124.21</v>
          </cell>
          <cell r="G227">
            <v>24.01</v>
          </cell>
          <cell r="H227">
            <v>119.92</v>
          </cell>
          <cell r="I227">
            <v>69.08</v>
          </cell>
          <cell r="J227">
            <v>69.08</v>
          </cell>
          <cell r="K227">
            <v>3.6</v>
          </cell>
          <cell r="L227">
            <v>3.6</v>
          </cell>
          <cell r="M227">
            <v>3.6</v>
          </cell>
          <cell r="N227">
            <v>3.6</v>
          </cell>
          <cell r="O227">
            <v>32.68</v>
          </cell>
          <cell r="P227">
            <v>4.68</v>
          </cell>
          <cell r="Q227">
            <v>4.68</v>
          </cell>
          <cell r="R227">
            <v>4.68</v>
          </cell>
          <cell r="S227">
            <v>4.16</v>
          </cell>
          <cell r="T227">
            <v>4.68</v>
          </cell>
          <cell r="U227">
            <v>60</v>
          </cell>
          <cell r="V227">
            <v>75.12</v>
          </cell>
          <cell r="W227">
            <v>37.049999999999997</v>
          </cell>
          <cell r="X227">
            <v>6.16</v>
          </cell>
          <cell r="Y227">
            <v>4.82</v>
          </cell>
          <cell r="Z227">
            <v>10.029999999999999</v>
          </cell>
          <cell r="AA227">
            <v>1.34</v>
          </cell>
          <cell r="AB227">
            <v>0.4</v>
          </cell>
          <cell r="AC227">
            <v>1.74</v>
          </cell>
        </row>
        <row r="228">
          <cell r="C228">
            <v>297.38</v>
          </cell>
          <cell r="D228">
            <v>70.31</v>
          </cell>
          <cell r="E228">
            <v>205.58</v>
          </cell>
          <cell r="F228">
            <v>124.21</v>
          </cell>
          <cell r="G228">
            <v>24.01</v>
          </cell>
          <cell r="H228">
            <v>119.92</v>
          </cell>
          <cell r="I228">
            <v>69.08</v>
          </cell>
          <cell r="J228">
            <v>69.08</v>
          </cell>
          <cell r="K228">
            <v>3.6</v>
          </cell>
          <cell r="L228">
            <v>3.6</v>
          </cell>
          <cell r="M228">
            <v>3.6</v>
          </cell>
          <cell r="N228">
            <v>3.6</v>
          </cell>
          <cell r="O228">
            <v>32.68</v>
          </cell>
          <cell r="P228">
            <v>4.68</v>
          </cell>
          <cell r="Q228">
            <v>4.68</v>
          </cell>
          <cell r="R228">
            <v>4.68</v>
          </cell>
          <cell r="S228">
            <v>4.16</v>
          </cell>
          <cell r="T228">
            <v>4.68</v>
          </cell>
          <cell r="U228">
            <v>60</v>
          </cell>
          <cell r="V228">
            <v>75.12</v>
          </cell>
          <cell r="W228">
            <v>37.049999999999997</v>
          </cell>
          <cell r="X228">
            <v>6.16</v>
          </cell>
          <cell r="Y228">
            <v>3.28</v>
          </cell>
          <cell r="Z228">
            <v>9.9</v>
          </cell>
          <cell r="AA228">
            <v>1.34</v>
          </cell>
          <cell r="AB228">
            <v>0.4</v>
          </cell>
          <cell r="AC228">
            <v>1.74</v>
          </cell>
        </row>
        <row r="229">
          <cell r="C229">
            <v>501.62</v>
          </cell>
          <cell r="D229">
            <v>0</v>
          </cell>
          <cell r="E229">
            <v>0</v>
          </cell>
          <cell r="F229">
            <v>124.21</v>
          </cell>
          <cell r="G229">
            <v>0</v>
          </cell>
          <cell r="H229">
            <v>119.92</v>
          </cell>
          <cell r="I229">
            <v>69.08</v>
          </cell>
          <cell r="J229">
            <v>69.08</v>
          </cell>
          <cell r="K229">
            <v>3.6</v>
          </cell>
          <cell r="L229">
            <v>3.6</v>
          </cell>
          <cell r="M229">
            <v>3.6</v>
          </cell>
          <cell r="N229">
            <v>3.6</v>
          </cell>
          <cell r="O229">
            <v>32.68</v>
          </cell>
          <cell r="P229">
            <v>4.68</v>
          </cell>
          <cell r="Q229">
            <v>4.68</v>
          </cell>
          <cell r="R229">
            <v>4.68</v>
          </cell>
          <cell r="S229">
            <v>4.16</v>
          </cell>
          <cell r="T229">
            <v>4.68</v>
          </cell>
          <cell r="U229">
            <v>60</v>
          </cell>
          <cell r="V229">
            <v>30.5</v>
          </cell>
          <cell r="W229">
            <v>12</v>
          </cell>
          <cell r="X229">
            <v>4</v>
          </cell>
          <cell r="Y229">
            <v>2.5</v>
          </cell>
          <cell r="Z229">
            <v>3</v>
          </cell>
          <cell r="AA229">
            <v>1.1000000000000001</v>
          </cell>
          <cell r="AB229">
            <v>0.4</v>
          </cell>
          <cell r="AC229">
            <v>1.74</v>
          </cell>
        </row>
        <row r="230">
          <cell r="C230">
            <v>370.56</v>
          </cell>
          <cell r="D230">
            <v>0</v>
          </cell>
          <cell r="E230">
            <v>0</v>
          </cell>
          <cell r="F230">
            <v>124.21</v>
          </cell>
          <cell r="G230">
            <v>0</v>
          </cell>
          <cell r="H230">
            <v>119.92</v>
          </cell>
          <cell r="I230">
            <v>69.08</v>
          </cell>
          <cell r="J230">
            <v>69.08</v>
          </cell>
          <cell r="K230">
            <v>3.6</v>
          </cell>
          <cell r="L230">
            <v>3.6</v>
          </cell>
          <cell r="M230">
            <v>3.6</v>
          </cell>
          <cell r="N230">
            <v>3.6</v>
          </cell>
          <cell r="O230">
            <v>32.68</v>
          </cell>
          <cell r="P230">
            <v>4.68</v>
          </cell>
          <cell r="Q230">
            <v>4.68</v>
          </cell>
          <cell r="R230">
            <v>4.68</v>
          </cell>
          <cell r="S230">
            <v>4.16</v>
          </cell>
          <cell r="T230">
            <v>4.68</v>
          </cell>
          <cell r="U230">
            <v>60</v>
          </cell>
          <cell r="V230">
            <v>30.5</v>
          </cell>
          <cell r="W230">
            <v>12</v>
          </cell>
          <cell r="X230">
            <v>4</v>
          </cell>
          <cell r="Y230">
            <v>2.5</v>
          </cell>
          <cell r="Z230">
            <v>3</v>
          </cell>
          <cell r="AA230">
            <v>1.1000000000000001</v>
          </cell>
          <cell r="AB230">
            <v>0.4</v>
          </cell>
          <cell r="AC230">
            <v>1.74</v>
          </cell>
        </row>
        <row r="232">
          <cell r="C232">
            <v>6368.25</v>
          </cell>
          <cell r="D232">
            <v>224.45</v>
          </cell>
          <cell r="E232">
            <v>2339.3000000000002</v>
          </cell>
          <cell r="F232">
            <v>2981.12</v>
          </cell>
          <cell r="G232">
            <v>312.10000000000002</v>
          </cell>
          <cell r="H232">
            <v>2878.19</v>
          </cell>
          <cell r="I232">
            <v>1657.88</v>
          </cell>
          <cell r="J232">
            <v>1657.88</v>
          </cell>
          <cell r="K232">
            <v>86.39</v>
          </cell>
          <cell r="L232">
            <v>86.39</v>
          </cell>
          <cell r="M232">
            <v>86.39</v>
          </cell>
          <cell r="N232">
            <v>86.39</v>
          </cell>
          <cell r="O232">
            <v>784.37</v>
          </cell>
          <cell r="P232">
            <v>102.71</v>
          </cell>
          <cell r="Q232">
            <v>112.37</v>
          </cell>
          <cell r="R232">
            <v>112.37</v>
          </cell>
          <cell r="S232">
            <v>99.93</v>
          </cell>
          <cell r="T232">
            <v>112.37</v>
          </cell>
          <cell r="U232">
            <v>1545.16</v>
          </cell>
          <cell r="V232">
            <v>1038.71</v>
          </cell>
          <cell r="W232">
            <v>408.06</v>
          </cell>
          <cell r="X232">
            <v>119.35</v>
          </cell>
          <cell r="Y232">
            <v>67.739999999999995</v>
          </cell>
          <cell r="Z232">
            <v>100</v>
          </cell>
          <cell r="AA232">
            <v>29.03</v>
          </cell>
          <cell r="AB232">
            <v>9.6</v>
          </cell>
          <cell r="AC232">
            <v>38.71</v>
          </cell>
        </row>
        <row r="234">
          <cell r="C234">
            <v>2E-3</v>
          </cell>
          <cell r="D234">
            <v>2E-3</v>
          </cell>
          <cell r="E234">
            <v>2E-3</v>
          </cell>
          <cell r="F234">
            <v>2.5700000000000001E-2</v>
          </cell>
          <cell r="G234">
            <v>3.32E-2</v>
          </cell>
          <cell r="H234">
            <v>2.75E-2</v>
          </cell>
          <cell r="I234">
            <v>2.7799999999999998E-2</v>
          </cell>
          <cell r="J234">
            <v>2.81E-2</v>
          </cell>
          <cell r="K234">
            <v>3.2000000000000001E-2</v>
          </cell>
          <cell r="L234">
            <v>3.2199999999999999E-2</v>
          </cell>
          <cell r="M234">
            <v>3.2199999999999999E-2</v>
          </cell>
          <cell r="N234">
            <v>3.2199999999999999E-2</v>
          </cell>
          <cell r="O234">
            <v>3.4299999999999997E-2</v>
          </cell>
          <cell r="P234">
            <v>3.7100000000000001E-2</v>
          </cell>
          <cell r="Q234">
            <v>3.7100000000000001E-2</v>
          </cell>
          <cell r="R234">
            <v>3.7100000000000001E-2</v>
          </cell>
          <cell r="S234">
            <v>3.7100000000000001E-2</v>
          </cell>
          <cell r="T234">
            <v>3.7100000000000001E-2</v>
          </cell>
          <cell r="U234">
            <v>2E-3</v>
          </cell>
          <cell r="V234">
            <v>2E-3</v>
          </cell>
          <cell r="W234">
            <v>2E-3</v>
          </cell>
          <cell r="X234">
            <v>2E-3</v>
          </cell>
          <cell r="Y234">
            <v>2E-3</v>
          </cell>
          <cell r="Z234">
            <v>2E-3</v>
          </cell>
          <cell r="AA234">
            <v>2E-3</v>
          </cell>
          <cell r="AB234">
            <v>2E-3</v>
          </cell>
          <cell r="AC234">
            <v>2E-3</v>
          </cell>
        </row>
        <row r="245">
          <cell r="C245" t="str">
            <v xml:space="preserve">H-PAUTE </v>
          </cell>
          <cell r="D245" t="str">
            <v>H-PUCARA</v>
          </cell>
          <cell r="E245" t="str">
            <v>H-NACION</v>
          </cell>
          <cell r="F245" t="str">
            <v>E-TRINIT</v>
          </cell>
          <cell r="G245" t="str">
            <v>IN-COLOM</v>
          </cell>
          <cell r="H245" t="str">
            <v xml:space="preserve">T-ESMER </v>
          </cell>
          <cell r="I245" t="str">
            <v>E.GZ.TV3</v>
          </cell>
          <cell r="J245" t="str">
            <v>E.GZ.TV2</v>
          </cell>
          <cell r="K245" t="str">
            <v>CSURDES1</v>
          </cell>
          <cell r="L245" t="str">
            <v>CSURDES2</v>
          </cell>
          <cell r="M245" t="str">
            <v>CSURDES3</v>
          </cell>
          <cell r="N245" t="str">
            <v>CSURDES4</v>
          </cell>
          <cell r="O245" t="str">
            <v xml:space="preserve">EQL3-U3 </v>
          </cell>
          <cell r="P245" t="str">
            <v>ELEC-AT1</v>
          </cell>
          <cell r="Q245" t="str">
            <v xml:space="preserve">EQL3-U4 </v>
          </cell>
          <cell r="R245" t="str">
            <v>E.VASANT</v>
          </cell>
          <cell r="S245" t="str">
            <v>TPGUANG2</v>
          </cell>
          <cell r="T245" t="str">
            <v>TPGUANG3</v>
          </cell>
          <cell r="U245" t="str">
            <v>TPGUANG4</v>
          </cell>
          <cell r="V245" t="str">
            <v>TPGUANG5</v>
          </cell>
          <cell r="W245" t="str">
            <v>TPGUANG6</v>
          </cell>
          <cell r="X245" t="str">
            <v>G.HERNA1</v>
          </cell>
          <cell r="Y245" t="str">
            <v>G.HERNA2</v>
          </cell>
          <cell r="Z245" t="str">
            <v>G.HERNA3</v>
          </cell>
          <cell r="AA245" t="str">
            <v>G.HERNA4</v>
          </cell>
          <cell r="AB245" t="str">
            <v>AGOYAN_H</v>
          </cell>
          <cell r="AC245" t="str">
            <v>EEQ_HIDR</v>
          </cell>
          <cell r="AD245" t="str">
            <v xml:space="preserve">C-SUR_H </v>
          </cell>
          <cell r="AE245" t="str">
            <v>RIOBAM_H</v>
          </cell>
          <cell r="AF245" t="str">
            <v>COTOPX_H</v>
          </cell>
          <cell r="AG245" t="str">
            <v>RNORTE_H</v>
          </cell>
          <cell r="AH245" t="str">
            <v>AMBATO_H</v>
          </cell>
          <cell r="AI245" t="str">
            <v>BOLIVR_H</v>
          </cell>
          <cell r="AJ245" t="str">
            <v xml:space="preserve">R-SUR_H </v>
          </cell>
        </row>
        <row r="247">
          <cell r="C247">
            <v>285</v>
          </cell>
          <cell r="D247">
            <v>0</v>
          </cell>
          <cell r="E247">
            <v>0</v>
          </cell>
          <cell r="F247">
            <v>124.21</v>
          </cell>
          <cell r="G247">
            <v>0</v>
          </cell>
          <cell r="H247">
            <v>119.92</v>
          </cell>
          <cell r="I247">
            <v>69.08</v>
          </cell>
          <cell r="J247">
            <v>69.08</v>
          </cell>
          <cell r="K247">
            <v>2.6</v>
          </cell>
          <cell r="L247">
            <v>3.6</v>
          </cell>
          <cell r="M247">
            <v>3.6</v>
          </cell>
          <cell r="N247">
            <v>0.6</v>
          </cell>
          <cell r="O247">
            <v>41.45</v>
          </cell>
          <cell r="P247">
            <v>33.700000000000003</v>
          </cell>
          <cell r="Q247">
            <v>40.869999999999997</v>
          </cell>
          <cell r="R247">
            <v>32.68</v>
          </cell>
          <cell r="S247">
            <v>4.68</v>
          </cell>
          <cell r="T247">
            <v>4.68</v>
          </cell>
          <cell r="U247">
            <v>4.68</v>
          </cell>
          <cell r="V247">
            <v>4.68</v>
          </cell>
          <cell r="W247">
            <v>4.68</v>
          </cell>
          <cell r="X247">
            <v>5.04</v>
          </cell>
          <cell r="Y247">
            <v>5.04</v>
          </cell>
          <cell r="Z247">
            <v>0</v>
          </cell>
          <cell r="AA247">
            <v>0</v>
          </cell>
          <cell r="AB247">
            <v>60</v>
          </cell>
          <cell r="AC247">
            <v>32.5</v>
          </cell>
          <cell r="AD247">
            <v>12</v>
          </cell>
          <cell r="AE247">
            <v>4</v>
          </cell>
          <cell r="AF247">
            <v>2.5</v>
          </cell>
          <cell r="AG247">
            <v>3</v>
          </cell>
          <cell r="AH247">
            <v>0.9</v>
          </cell>
          <cell r="AI247">
            <v>0.4</v>
          </cell>
          <cell r="AJ247">
            <v>0.9</v>
          </cell>
        </row>
        <row r="248">
          <cell r="C248">
            <v>250.01</v>
          </cell>
          <cell r="D248">
            <v>0</v>
          </cell>
          <cell r="E248">
            <v>0</v>
          </cell>
          <cell r="F248">
            <v>124.21</v>
          </cell>
          <cell r="G248">
            <v>0</v>
          </cell>
          <cell r="H248">
            <v>119.92</v>
          </cell>
          <cell r="I248">
            <v>69.08</v>
          </cell>
          <cell r="J248">
            <v>69.08</v>
          </cell>
          <cell r="K248">
            <v>2.6</v>
          </cell>
          <cell r="L248">
            <v>3.6</v>
          </cell>
          <cell r="M248">
            <v>3.6</v>
          </cell>
          <cell r="N248">
            <v>0.6</v>
          </cell>
          <cell r="O248">
            <v>41.45</v>
          </cell>
          <cell r="P248">
            <v>33.700000000000003</v>
          </cell>
          <cell r="Q248">
            <v>41.45</v>
          </cell>
          <cell r="R248">
            <v>32.68</v>
          </cell>
          <cell r="S248">
            <v>4.68</v>
          </cell>
          <cell r="T248">
            <v>4.68</v>
          </cell>
          <cell r="U248">
            <v>4.68</v>
          </cell>
          <cell r="V248">
            <v>4.68</v>
          </cell>
          <cell r="W248">
            <v>4.68</v>
          </cell>
          <cell r="X248">
            <v>5.04</v>
          </cell>
          <cell r="Y248">
            <v>5.04</v>
          </cell>
          <cell r="Z248">
            <v>5.04</v>
          </cell>
          <cell r="AA248">
            <v>0</v>
          </cell>
          <cell r="AB248">
            <v>60</v>
          </cell>
          <cell r="AC248">
            <v>32.5</v>
          </cell>
          <cell r="AD248">
            <v>12</v>
          </cell>
          <cell r="AE248">
            <v>4</v>
          </cell>
          <cell r="AF248">
            <v>2.5</v>
          </cell>
          <cell r="AG248">
            <v>3</v>
          </cell>
          <cell r="AH248">
            <v>0.9</v>
          </cell>
          <cell r="AI248">
            <v>0.4</v>
          </cell>
          <cell r="AJ248">
            <v>0.9</v>
          </cell>
        </row>
        <row r="249">
          <cell r="C249">
            <v>219.47</v>
          </cell>
          <cell r="D249">
            <v>0</v>
          </cell>
          <cell r="E249">
            <v>0</v>
          </cell>
          <cell r="F249">
            <v>124.21</v>
          </cell>
          <cell r="G249">
            <v>0</v>
          </cell>
          <cell r="H249">
            <v>119.92</v>
          </cell>
          <cell r="I249">
            <v>69.08</v>
          </cell>
          <cell r="J249">
            <v>69.08</v>
          </cell>
          <cell r="K249">
            <v>2.6</v>
          </cell>
          <cell r="L249">
            <v>3.6</v>
          </cell>
          <cell r="M249">
            <v>3.6</v>
          </cell>
          <cell r="N249">
            <v>0.6</v>
          </cell>
          <cell r="O249">
            <v>41.45</v>
          </cell>
          <cell r="P249">
            <v>33.700000000000003</v>
          </cell>
          <cell r="Q249">
            <v>41.45</v>
          </cell>
          <cell r="R249">
            <v>32.68</v>
          </cell>
          <cell r="S249">
            <v>4.68</v>
          </cell>
          <cell r="T249">
            <v>4.68</v>
          </cell>
          <cell r="U249">
            <v>4.68</v>
          </cell>
          <cell r="V249">
            <v>4.68</v>
          </cell>
          <cell r="W249">
            <v>4.68</v>
          </cell>
          <cell r="X249">
            <v>5.04</v>
          </cell>
          <cell r="Y249">
            <v>5.04</v>
          </cell>
          <cell r="Z249">
            <v>5.04</v>
          </cell>
          <cell r="AA249">
            <v>0</v>
          </cell>
          <cell r="AB249">
            <v>60</v>
          </cell>
          <cell r="AC249">
            <v>32.5</v>
          </cell>
          <cell r="AD249">
            <v>12</v>
          </cell>
          <cell r="AE249">
            <v>4</v>
          </cell>
          <cell r="AF249">
            <v>2.5</v>
          </cell>
          <cell r="AG249">
            <v>3</v>
          </cell>
          <cell r="AH249">
            <v>0.9</v>
          </cell>
          <cell r="AI249">
            <v>0.4</v>
          </cell>
          <cell r="AJ249">
            <v>0.9</v>
          </cell>
        </row>
        <row r="250">
          <cell r="C250">
            <v>228.88</v>
          </cell>
          <cell r="D250">
            <v>0</v>
          </cell>
          <cell r="E250">
            <v>0</v>
          </cell>
          <cell r="F250">
            <v>124.21</v>
          </cell>
          <cell r="G250">
            <v>0</v>
          </cell>
          <cell r="H250">
            <v>119.92</v>
          </cell>
          <cell r="I250">
            <v>69.08</v>
          </cell>
          <cell r="J250">
            <v>69.08</v>
          </cell>
          <cell r="K250">
            <v>2.6</v>
          </cell>
          <cell r="L250">
            <v>3.6</v>
          </cell>
          <cell r="M250">
            <v>3.6</v>
          </cell>
          <cell r="N250">
            <v>0.6</v>
          </cell>
          <cell r="O250">
            <v>41.45</v>
          </cell>
          <cell r="P250">
            <v>33.700000000000003</v>
          </cell>
          <cell r="Q250">
            <v>41.45</v>
          </cell>
          <cell r="R250">
            <v>32.68</v>
          </cell>
          <cell r="S250">
            <v>4.68</v>
          </cell>
          <cell r="T250">
            <v>4.68</v>
          </cell>
          <cell r="U250">
            <v>4.68</v>
          </cell>
          <cell r="V250">
            <v>4.68</v>
          </cell>
          <cell r="W250">
            <v>4.68</v>
          </cell>
          <cell r="X250">
            <v>5.04</v>
          </cell>
          <cell r="Y250">
            <v>5.04</v>
          </cell>
          <cell r="Z250">
            <v>5.04</v>
          </cell>
          <cell r="AA250">
            <v>0</v>
          </cell>
          <cell r="AB250">
            <v>60</v>
          </cell>
          <cell r="AC250">
            <v>32.5</v>
          </cell>
          <cell r="AD250">
            <v>12</v>
          </cell>
          <cell r="AE250">
            <v>4</v>
          </cell>
          <cell r="AF250">
            <v>2.5</v>
          </cell>
          <cell r="AG250">
            <v>3</v>
          </cell>
          <cell r="AH250">
            <v>0.9</v>
          </cell>
          <cell r="AI250">
            <v>0.4</v>
          </cell>
          <cell r="AJ250">
            <v>0.9</v>
          </cell>
        </row>
        <row r="251">
          <cell r="C251">
            <v>238.2</v>
          </cell>
          <cell r="D251">
            <v>0</v>
          </cell>
          <cell r="E251">
            <v>0</v>
          </cell>
          <cell r="F251">
            <v>124.21</v>
          </cell>
          <cell r="G251">
            <v>0</v>
          </cell>
          <cell r="H251">
            <v>119.92</v>
          </cell>
          <cell r="I251">
            <v>69.08</v>
          </cell>
          <cell r="J251">
            <v>69.08</v>
          </cell>
          <cell r="K251">
            <v>2.6</v>
          </cell>
          <cell r="L251">
            <v>3.6</v>
          </cell>
          <cell r="M251">
            <v>3.6</v>
          </cell>
          <cell r="N251">
            <v>0.6</v>
          </cell>
          <cell r="O251">
            <v>41.45</v>
          </cell>
          <cell r="P251">
            <v>33.700000000000003</v>
          </cell>
          <cell r="Q251">
            <v>41.45</v>
          </cell>
          <cell r="R251">
            <v>32.68</v>
          </cell>
          <cell r="S251">
            <v>4.68</v>
          </cell>
          <cell r="T251">
            <v>4.68</v>
          </cell>
          <cell r="U251">
            <v>4.68</v>
          </cell>
          <cell r="V251">
            <v>4.68</v>
          </cell>
          <cell r="W251">
            <v>4.68</v>
          </cell>
          <cell r="X251">
            <v>5.04</v>
          </cell>
          <cell r="Y251">
            <v>5.04</v>
          </cell>
          <cell r="Z251">
            <v>5.04</v>
          </cell>
          <cell r="AA251">
            <v>0</v>
          </cell>
          <cell r="AB251">
            <v>60</v>
          </cell>
          <cell r="AC251">
            <v>32.5</v>
          </cell>
          <cell r="AD251">
            <v>12</v>
          </cell>
          <cell r="AE251">
            <v>4</v>
          </cell>
          <cell r="AF251">
            <v>2.5</v>
          </cell>
          <cell r="AG251">
            <v>3</v>
          </cell>
          <cell r="AH251">
            <v>0.9</v>
          </cell>
          <cell r="AI251">
            <v>0.4</v>
          </cell>
          <cell r="AJ251">
            <v>0.9</v>
          </cell>
        </row>
        <row r="252">
          <cell r="C252">
            <v>323.07</v>
          </cell>
          <cell r="D252">
            <v>0</v>
          </cell>
          <cell r="E252">
            <v>0</v>
          </cell>
          <cell r="F252">
            <v>124.21</v>
          </cell>
          <cell r="G252">
            <v>0</v>
          </cell>
          <cell r="H252">
            <v>119.92</v>
          </cell>
          <cell r="I252">
            <v>69.08</v>
          </cell>
          <cell r="J252">
            <v>69.08</v>
          </cell>
          <cell r="K252">
            <v>2.6</v>
          </cell>
          <cell r="L252">
            <v>3.6</v>
          </cell>
          <cell r="M252">
            <v>3.6</v>
          </cell>
          <cell r="N252">
            <v>0.6</v>
          </cell>
          <cell r="O252">
            <v>41.45</v>
          </cell>
          <cell r="P252">
            <v>33.700000000000003</v>
          </cell>
          <cell r="Q252">
            <v>41.45</v>
          </cell>
          <cell r="R252">
            <v>32.68</v>
          </cell>
          <cell r="S252">
            <v>4.68</v>
          </cell>
          <cell r="T252">
            <v>4.68</v>
          </cell>
          <cell r="U252">
            <v>4.68</v>
          </cell>
          <cell r="V252">
            <v>4.68</v>
          </cell>
          <cell r="W252">
            <v>4.68</v>
          </cell>
          <cell r="X252">
            <v>5.04</v>
          </cell>
          <cell r="Y252">
            <v>5.04</v>
          </cell>
          <cell r="Z252">
            <v>5.04</v>
          </cell>
          <cell r="AA252">
            <v>0</v>
          </cell>
          <cell r="AB252">
            <v>60</v>
          </cell>
          <cell r="AC252">
            <v>32.5</v>
          </cell>
          <cell r="AD252">
            <v>12</v>
          </cell>
          <cell r="AE252">
            <v>4</v>
          </cell>
          <cell r="AF252">
            <v>2.5</v>
          </cell>
          <cell r="AG252">
            <v>3</v>
          </cell>
          <cell r="AH252">
            <v>0.9</v>
          </cell>
          <cell r="AI252">
            <v>0.4</v>
          </cell>
          <cell r="AJ252">
            <v>0.9</v>
          </cell>
        </row>
        <row r="253">
          <cell r="C253">
            <v>348.04</v>
          </cell>
          <cell r="D253">
            <v>0</v>
          </cell>
          <cell r="E253">
            <v>0</v>
          </cell>
          <cell r="F253">
            <v>124.21</v>
          </cell>
          <cell r="G253">
            <v>0</v>
          </cell>
          <cell r="H253">
            <v>119.92</v>
          </cell>
          <cell r="I253">
            <v>69.08</v>
          </cell>
          <cell r="J253">
            <v>69.08</v>
          </cell>
          <cell r="K253">
            <v>2.6</v>
          </cell>
          <cell r="L253">
            <v>3.6</v>
          </cell>
          <cell r="M253">
            <v>3.6</v>
          </cell>
          <cell r="N253">
            <v>0.6</v>
          </cell>
          <cell r="O253">
            <v>41.45</v>
          </cell>
          <cell r="P253">
            <v>33.700000000000003</v>
          </cell>
          <cell r="Q253">
            <v>41.45</v>
          </cell>
          <cell r="R253">
            <v>32.68</v>
          </cell>
          <cell r="S253">
            <v>4.68</v>
          </cell>
          <cell r="T253">
            <v>4.68</v>
          </cell>
          <cell r="U253">
            <v>4.68</v>
          </cell>
          <cell r="V253">
            <v>4.68</v>
          </cell>
          <cell r="W253">
            <v>4.68</v>
          </cell>
          <cell r="X253">
            <v>5.04</v>
          </cell>
          <cell r="Y253">
            <v>5.04</v>
          </cell>
          <cell r="Z253">
            <v>5.04</v>
          </cell>
          <cell r="AA253">
            <v>0</v>
          </cell>
          <cell r="AB253">
            <v>60</v>
          </cell>
          <cell r="AC253">
            <v>32.5</v>
          </cell>
          <cell r="AD253">
            <v>12</v>
          </cell>
          <cell r="AE253">
            <v>4</v>
          </cell>
          <cell r="AF253">
            <v>2.5</v>
          </cell>
          <cell r="AG253">
            <v>3</v>
          </cell>
          <cell r="AH253">
            <v>0.9</v>
          </cell>
          <cell r="AI253">
            <v>0.4</v>
          </cell>
          <cell r="AJ253">
            <v>0.9</v>
          </cell>
        </row>
        <row r="254">
          <cell r="C254">
            <v>407.96</v>
          </cell>
          <cell r="D254">
            <v>0</v>
          </cell>
          <cell r="E254">
            <v>0</v>
          </cell>
          <cell r="F254">
            <v>124.21</v>
          </cell>
          <cell r="G254">
            <v>0</v>
          </cell>
          <cell r="H254">
            <v>119.92</v>
          </cell>
          <cell r="I254">
            <v>69.08</v>
          </cell>
          <cell r="J254">
            <v>69.08</v>
          </cell>
          <cell r="K254">
            <v>2.6</v>
          </cell>
          <cell r="L254">
            <v>3.6</v>
          </cell>
          <cell r="M254">
            <v>3.6</v>
          </cell>
          <cell r="N254">
            <v>0.6</v>
          </cell>
          <cell r="O254">
            <v>41.45</v>
          </cell>
          <cell r="P254">
            <v>33.700000000000003</v>
          </cell>
          <cell r="Q254">
            <v>41.45</v>
          </cell>
          <cell r="R254">
            <v>32.68</v>
          </cell>
          <cell r="S254">
            <v>4.68</v>
          </cell>
          <cell r="T254">
            <v>4.68</v>
          </cell>
          <cell r="U254">
            <v>4.68</v>
          </cell>
          <cell r="V254">
            <v>4.68</v>
          </cell>
          <cell r="W254">
            <v>4.68</v>
          </cell>
          <cell r="X254">
            <v>5.04</v>
          </cell>
          <cell r="Y254">
            <v>5.04</v>
          </cell>
          <cell r="Z254">
            <v>5.04</v>
          </cell>
          <cell r="AA254">
            <v>0</v>
          </cell>
          <cell r="AB254">
            <v>60</v>
          </cell>
          <cell r="AC254">
            <v>32.5</v>
          </cell>
          <cell r="AD254">
            <v>12</v>
          </cell>
          <cell r="AE254">
            <v>4</v>
          </cell>
          <cell r="AF254">
            <v>2.5</v>
          </cell>
          <cell r="AG254">
            <v>3</v>
          </cell>
          <cell r="AH254">
            <v>0.9</v>
          </cell>
          <cell r="AI254">
            <v>0.4</v>
          </cell>
          <cell r="AJ254">
            <v>0.9</v>
          </cell>
        </row>
        <row r="255">
          <cell r="C255">
            <v>311.31</v>
          </cell>
          <cell r="D255">
            <v>46.17</v>
          </cell>
          <cell r="E255">
            <v>183.56</v>
          </cell>
          <cell r="F255">
            <v>124.21</v>
          </cell>
          <cell r="G255">
            <v>0</v>
          </cell>
          <cell r="H255">
            <v>119.92</v>
          </cell>
          <cell r="I255">
            <v>69.08</v>
          </cell>
          <cell r="J255">
            <v>69.08</v>
          </cell>
          <cell r="K255">
            <v>2.6</v>
          </cell>
          <cell r="L255">
            <v>3.6</v>
          </cell>
          <cell r="M255">
            <v>3.6</v>
          </cell>
          <cell r="N255">
            <v>0.6</v>
          </cell>
          <cell r="O255">
            <v>41.45</v>
          </cell>
          <cell r="P255">
            <v>33.700000000000003</v>
          </cell>
          <cell r="Q255">
            <v>41.45</v>
          </cell>
          <cell r="R255">
            <v>32.68</v>
          </cell>
          <cell r="S255">
            <v>4.68</v>
          </cell>
          <cell r="T255">
            <v>4.68</v>
          </cell>
          <cell r="U255">
            <v>4.68</v>
          </cell>
          <cell r="V255">
            <v>4.68</v>
          </cell>
          <cell r="W255">
            <v>4.68</v>
          </cell>
          <cell r="X255">
            <v>5.04</v>
          </cell>
          <cell r="Y255">
            <v>5.04</v>
          </cell>
          <cell r="Z255">
            <v>5.04</v>
          </cell>
          <cell r="AA255">
            <v>0</v>
          </cell>
          <cell r="AB255">
            <v>60</v>
          </cell>
          <cell r="AC255">
            <v>32.5</v>
          </cell>
          <cell r="AD255">
            <v>12</v>
          </cell>
          <cell r="AE255">
            <v>5.32</v>
          </cell>
          <cell r="AF255">
            <v>2.5</v>
          </cell>
          <cell r="AG255">
            <v>3</v>
          </cell>
          <cell r="AH255">
            <v>0.9</v>
          </cell>
          <cell r="AI255">
            <v>0.4</v>
          </cell>
          <cell r="AJ255">
            <v>0.9</v>
          </cell>
        </row>
        <row r="256">
          <cell r="C256">
            <v>270.27</v>
          </cell>
          <cell r="D256">
            <v>70.31</v>
          </cell>
          <cell r="E256">
            <v>198.23</v>
          </cell>
          <cell r="F256">
            <v>124.21</v>
          </cell>
          <cell r="G256">
            <v>24.01</v>
          </cell>
          <cell r="H256">
            <v>119.92</v>
          </cell>
          <cell r="I256">
            <v>69.08</v>
          </cell>
          <cell r="J256">
            <v>69.08</v>
          </cell>
          <cell r="K256">
            <v>2.6</v>
          </cell>
          <cell r="L256">
            <v>3.6</v>
          </cell>
          <cell r="M256">
            <v>3.6</v>
          </cell>
          <cell r="N256">
            <v>0.6</v>
          </cell>
          <cell r="O256">
            <v>41.45</v>
          </cell>
          <cell r="P256">
            <v>33.700000000000003</v>
          </cell>
          <cell r="Q256">
            <v>41.45</v>
          </cell>
          <cell r="R256">
            <v>32.68</v>
          </cell>
          <cell r="S256">
            <v>4.68</v>
          </cell>
          <cell r="T256">
            <v>4.68</v>
          </cell>
          <cell r="U256">
            <v>4.68</v>
          </cell>
          <cell r="V256">
            <v>4.68</v>
          </cell>
          <cell r="W256">
            <v>4.68</v>
          </cell>
          <cell r="X256">
            <v>5.04</v>
          </cell>
          <cell r="Y256">
            <v>5.04</v>
          </cell>
          <cell r="Z256">
            <v>5.04</v>
          </cell>
          <cell r="AA256">
            <v>5.04</v>
          </cell>
          <cell r="AB256">
            <v>60</v>
          </cell>
          <cell r="AC256">
            <v>32.5</v>
          </cell>
          <cell r="AD256">
            <v>12</v>
          </cell>
          <cell r="AE256">
            <v>6.16</v>
          </cell>
          <cell r="AF256">
            <v>2.5</v>
          </cell>
          <cell r="AG256">
            <v>3</v>
          </cell>
          <cell r="AH256">
            <v>0.9</v>
          </cell>
          <cell r="AI256">
            <v>0.4</v>
          </cell>
          <cell r="AJ256">
            <v>0.9</v>
          </cell>
        </row>
        <row r="257">
          <cell r="C257">
            <v>301.91000000000003</v>
          </cell>
          <cell r="D257">
            <v>70.31</v>
          </cell>
          <cell r="E257">
            <v>198.23</v>
          </cell>
          <cell r="F257">
            <v>124.21</v>
          </cell>
          <cell r="G257">
            <v>24.01</v>
          </cell>
          <cell r="H257">
            <v>119.92</v>
          </cell>
          <cell r="I257">
            <v>69.08</v>
          </cell>
          <cell r="J257">
            <v>69.08</v>
          </cell>
          <cell r="K257">
            <v>2.6</v>
          </cell>
          <cell r="L257">
            <v>3.6</v>
          </cell>
          <cell r="M257">
            <v>3.6</v>
          </cell>
          <cell r="N257">
            <v>0.6</v>
          </cell>
          <cell r="O257">
            <v>41.45</v>
          </cell>
          <cell r="P257">
            <v>33.700000000000003</v>
          </cell>
          <cell r="Q257">
            <v>41.45</v>
          </cell>
          <cell r="R257">
            <v>32.68</v>
          </cell>
          <cell r="S257">
            <v>4.68</v>
          </cell>
          <cell r="T257">
            <v>4.68</v>
          </cell>
          <cell r="U257">
            <v>4.68</v>
          </cell>
          <cell r="V257">
            <v>4.68</v>
          </cell>
          <cell r="W257">
            <v>4.68</v>
          </cell>
          <cell r="X257">
            <v>5.04</v>
          </cell>
          <cell r="Y257">
            <v>5.04</v>
          </cell>
          <cell r="Z257">
            <v>5.04</v>
          </cell>
          <cell r="AA257">
            <v>5.04</v>
          </cell>
          <cell r="AB257">
            <v>60</v>
          </cell>
          <cell r="AC257">
            <v>32.5</v>
          </cell>
          <cell r="AD257">
            <v>12</v>
          </cell>
          <cell r="AE257">
            <v>6.16</v>
          </cell>
          <cell r="AF257">
            <v>2.5</v>
          </cell>
          <cell r="AG257">
            <v>3</v>
          </cell>
          <cell r="AH257">
            <v>0.9</v>
          </cell>
          <cell r="AI257">
            <v>0.4</v>
          </cell>
          <cell r="AJ257">
            <v>1.1399999999999999</v>
          </cell>
        </row>
        <row r="258">
          <cell r="C258">
            <v>316.95</v>
          </cell>
          <cell r="D258">
            <v>70.31</v>
          </cell>
          <cell r="E258">
            <v>198.23</v>
          </cell>
          <cell r="F258">
            <v>124.21</v>
          </cell>
          <cell r="G258">
            <v>24.01</v>
          </cell>
          <cell r="H258">
            <v>119.92</v>
          </cell>
          <cell r="I258">
            <v>69.08</v>
          </cell>
          <cell r="J258">
            <v>69.08</v>
          </cell>
          <cell r="K258">
            <v>2.6</v>
          </cell>
          <cell r="L258">
            <v>3.6</v>
          </cell>
          <cell r="M258">
            <v>3.6</v>
          </cell>
          <cell r="N258">
            <v>0.6</v>
          </cell>
          <cell r="O258">
            <v>41.45</v>
          </cell>
          <cell r="P258">
            <v>33.700000000000003</v>
          </cell>
          <cell r="Q258">
            <v>41.45</v>
          </cell>
          <cell r="R258">
            <v>32.68</v>
          </cell>
          <cell r="S258">
            <v>4.68</v>
          </cell>
          <cell r="T258">
            <v>4.68</v>
          </cell>
          <cell r="U258">
            <v>4.68</v>
          </cell>
          <cell r="V258">
            <v>4.68</v>
          </cell>
          <cell r="W258">
            <v>4.68</v>
          </cell>
          <cell r="X258">
            <v>5.04</v>
          </cell>
          <cell r="Y258">
            <v>5.04</v>
          </cell>
          <cell r="Z258">
            <v>5.04</v>
          </cell>
          <cell r="AA258">
            <v>5.04</v>
          </cell>
          <cell r="AB258">
            <v>60</v>
          </cell>
          <cell r="AC258">
            <v>32.5</v>
          </cell>
          <cell r="AD258">
            <v>12</v>
          </cell>
          <cell r="AE258">
            <v>6.16</v>
          </cell>
          <cell r="AF258">
            <v>2.5</v>
          </cell>
          <cell r="AG258">
            <v>3</v>
          </cell>
          <cell r="AH258">
            <v>0.9</v>
          </cell>
          <cell r="AI258">
            <v>0.4</v>
          </cell>
          <cell r="AJ258">
            <v>1.74</v>
          </cell>
        </row>
        <row r="259">
          <cell r="C259">
            <v>269.04000000000002</v>
          </cell>
          <cell r="D259">
            <v>70.31</v>
          </cell>
          <cell r="E259">
            <v>198.23</v>
          </cell>
          <cell r="F259">
            <v>124.21</v>
          </cell>
          <cell r="G259">
            <v>24.01</v>
          </cell>
          <cell r="H259">
            <v>119.92</v>
          </cell>
          <cell r="I259">
            <v>69.08</v>
          </cell>
          <cell r="J259">
            <v>69.08</v>
          </cell>
          <cell r="K259">
            <v>2.6</v>
          </cell>
          <cell r="L259">
            <v>3.6</v>
          </cell>
          <cell r="M259">
            <v>3.6</v>
          </cell>
          <cell r="N259">
            <v>0.6</v>
          </cell>
          <cell r="O259">
            <v>41.45</v>
          </cell>
          <cell r="P259">
            <v>33.700000000000003</v>
          </cell>
          <cell r="Q259">
            <v>41.45</v>
          </cell>
          <cell r="R259">
            <v>32.68</v>
          </cell>
          <cell r="S259">
            <v>4.68</v>
          </cell>
          <cell r="T259">
            <v>4.68</v>
          </cell>
          <cell r="U259">
            <v>4.68</v>
          </cell>
          <cell r="V259">
            <v>4.68</v>
          </cell>
          <cell r="W259">
            <v>4.68</v>
          </cell>
          <cell r="X259">
            <v>5.04</v>
          </cell>
          <cell r="Y259">
            <v>5.04</v>
          </cell>
          <cell r="Z259">
            <v>5.04</v>
          </cell>
          <cell r="AA259">
            <v>5.04</v>
          </cell>
          <cell r="AB259">
            <v>60</v>
          </cell>
          <cell r="AC259">
            <v>32.5</v>
          </cell>
          <cell r="AD259">
            <v>12</v>
          </cell>
          <cell r="AE259">
            <v>6.16</v>
          </cell>
          <cell r="AF259">
            <v>2.5</v>
          </cell>
          <cell r="AG259">
            <v>3</v>
          </cell>
          <cell r="AH259">
            <v>0.9</v>
          </cell>
          <cell r="AI259">
            <v>0.4</v>
          </cell>
          <cell r="AJ259">
            <v>1.74</v>
          </cell>
        </row>
        <row r="260">
          <cell r="C260">
            <v>272.11</v>
          </cell>
          <cell r="D260">
            <v>70.31</v>
          </cell>
          <cell r="E260">
            <v>198.23</v>
          </cell>
          <cell r="F260">
            <v>124.21</v>
          </cell>
          <cell r="G260">
            <v>24.01</v>
          </cell>
          <cell r="H260">
            <v>119.92</v>
          </cell>
          <cell r="I260">
            <v>69.08</v>
          </cell>
          <cell r="J260">
            <v>69.08</v>
          </cell>
          <cell r="K260">
            <v>2.6</v>
          </cell>
          <cell r="L260">
            <v>3.6</v>
          </cell>
          <cell r="M260">
            <v>3.6</v>
          </cell>
          <cell r="N260">
            <v>0.6</v>
          </cell>
          <cell r="O260">
            <v>41.45</v>
          </cell>
          <cell r="P260">
            <v>33.700000000000003</v>
          </cell>
          <cell r="Q260">
            <v>41.45</v>
          </cell>
          <cell r="R260">
            <v>32.68</v>
          </cell>
          <cell r="S260">
            <v>4.68</v>
          </cell>
          <cell r="T260">
            <v>4.68</v>
          </cell>
          <cell r="U260">
            <v>4.68</v>
          </cell>
          <cell r="V260">
            <v>4.68</v>
          </cell>
          <cell r="W260">
            <v>4.68</v>
          </cell>
          <cell r="X260">
            <v>5.04</v>
          </cell>
          <cell r="Y260">
            <v>5.04</v>
          </cell>
          <cell r="Z260">
            <v>5.04</v>
          </cell>
          <cell r="AA260">
            <v>5.04</v>
          </cell>
          <cell r="AB260">
            <v>60</v>
          </cell>
          <cell r="AC260">
            <v>32.5</v>
          </cell>
          <cell r="AD260">
            <v>12</v>
          </cell>
          <cell r="AE260">
            <v>6.16</v>
          </cell>
          <cell r="AF260">
            <v>2.5</v>
          </cell>
          <cell r="AG260">
            <v>3</v>
          </cell>
          <cell r="AH260">
            <v>0.9</v>
          </cell>
          <cell r="AI260">
            <v>0.4</v>
          </cell>
          <cell r="AJ260">
            <v>1.74</v>
          </cell>
        </row>
        <row r="261">
          <cell r="C261">
            <v>294.61</v>
          </cell>
          <cell r="D261">
            <v>70.31</v>
          </cell>
          <cell r="E261">
            <v>198.23</v>
          </cell>
          <cell r="F261">
            <v>124.21</v>
          </cell>
          <cell r="G261">
            <v>24.01</v>
          </cell>
          <cell r="H261">
            <v>119.92</v>
          </cell>
          <cell r="I261">
            <v>69.08</v>
          </cell>
          <cell r="J261">
            <v>69.08</v>
          </cell>
          <cell r="K261">
            <v>2.6</v>
          </cell>
          <cell r="L261">
            <v>3.6</v>
          </cell>
          <cell r="M261">
            <v>3.6</v>
          </cell>
          <cell r="N261">
            <v>0.6</v>
          </cell>
          <cell r="O261">
            <v>41.45</v>
          </cell>
          <cell r="P261">
            <v>33.700000000000003</v>
          </cell>
          <cell r="Q261">
            <v>41.45</v>
          </cell>
          <cell r="R261">
            <v>32.68</v>
          </cell>
          <cell r="S261">
            <v>4.68</v>
          </cell>
          <cell r="T261">
            <v>4.68</v>
          </cell>
          <cell r="U261">
            <v>4.68</v>
          </cell>
          <cell r="V261">
            <v>4.68</v>
          </cell>
          <cell r="W261">
            <v>4.68</v>
          </cell>
          <cell r="X261">
            <v>5.04</v>
          </cell>
          <cell r="Y261">
            <v>5.04</v>
          </cell>
          <cell r="Z261">
            <v>5.04</v>
          </cell>
          <cell r="AA261">
            <v>5.04</v>
          </cell>
          <cell r="AB261">
            <v>60</v>
          </cell>
          <cell r="AC261">
            <v>32.5</v>
          </cell>
          <cell r="AD261">
            <v>12</v>
          </cell>
          <cell r="AE261">
            <v>6.16</v>
          </cell>
          <cell r="AF261">
            <v>2.5</v>
          </cell>
          <cell r="AG261">
            <v>3</v>
          </cell>
          <cell r="AH261">
            <v>0.9</v>
          </cell>
          <cell r="AI261">
            <v>0.4</v>
          </cell>
          <cell r="AJ261">
            <v>1.74</v>
          </cell>
        </row>
        <row r="262">
          <cell r="C262">
            <v>291.33</v>
          </cell>
          <cell r="D262">
            <v>70.31</v>
          </cell>
          <cell r="E262">
            <v>198.23</v>
          </cell>
          <cell r="F262">
            <v>124.21</v>
          </cell>
          <cell r="G262">
            <v>24.01</v>
          </cell>
          <cell r="H262">
            <v>119.92</v>
          </cell>
          <cell r="I262">
            <v>69.08</v>
          </cell>
          <cell r="J262">
            <v>69.08</v>
          </cell>
          <cell r="K262">
            <v>2.6</v>
          </cell>
          <cell r="L262">
            <v>3.6</v>
          </cell>
          <cell r="M262">
            <v>3.6</v>
          </cell>
          <cell r="N262">
            <v>0.6</v>
          </cell>
          <cell r="O262">
            <v>41.45</v>
          </cell>
          <cell r="P262">
            <v>33.700000000000003</v>
          </cell>
          <cell r="Q262">
            <v>41.45</v>
          </cell>
          <cell r="R262">
            <v>32.68</v>
          </cell>
          <cell r="S262">
            <v>4.68</v>
          </cell>
          <cell r="T262">
            <v>4.68</v>
          </cell>
          <cell r="U262">
            <v>4.68</v>
          </cell>
          <cell r="V262">
            <v>4.68</v>
          </cell>
          <cell r="W262">
            <v>4.68</v>
          </cell>
          <cell r="X262">
            <v>5.04</v>
          </cell>
          <cell r="Y262">
            <v>5.04</v>
          </cell>
          <cell r="Z262">
            <v>5.04</v>
          </cell>
          <cell r="AA262">
            <v>5.04</v>
          </cell>
          <cell r="AB262">
            <v>60</v>
          </cell>
          <cell r="AC262">
            <v>32.5</v>
          </cell>
          <cell r="AD262">
            <v>12</v>
          </cell>
          <cell r="AE262">
            <v>6.16</v>
          </cell>
          <cell r="AF262">
            <v>2.5</v>
          </cell>
          <cell r="AG262">
            <v>3</v>
          </cell>
          <cell r="AH262">
            <v>0.9</v>
          </cell>
          <cell r="AI262">
            <v>0.4</v>
          </cell>
          <cell r="AJ262">
            <v>1.74</v>
          </cell>
        </row>
        <row r="263">
          <cell r="C263">
            <v>260.36</v>
          </cell>
          <cell r="D263">
            <v>70.31</v>
          </cell>
          <cell r="E263">
            <v>198.23</v>
          </cell>
          <cell r="F263">
            <v>124.21</v>
          </cell>
          <cell r="G263">
            <v>24.01</v>
          </cell>
          <cell r="H263">
            <v>119.92</v>
          </cell>
          <cell r="I263">
            <v>69.08</v>
          </cell>
          <cell r="J263">
            <v>69.08</v>
          </cell>
          <cell r="K263">
            <v>2.6</v>
          </cell>
          <cell r="L263">
            <v>3.6</v>
          </cell>
          <cell r="M263">
            <v>3.6</v>
          </cell>
          <cell r="N263">
            <v>0.6</v>
          </cell>
          <cell r="O263">
            <v>41.45</v>
          </cell>
          <cell r="P263">
            <v>33.700000000000003</v>
          </cell>
          <cell r="Q263">
            <v>41.45</v>
          </cell>
          <cell r="R263">
            <v>32.68</v>
          </cell>
          <cell r="S263">
            <v>4.68</v>
          </cell>
          <cell r="T263">
            <v>4.68</v>
          </cell>
          <cell r="U263">
            <v>4.68</v>
          </cell>
          <cell r="V263">
            <v>4.68</v>
          </cell>
          <cell r="W263">
            <v>4.68</v>
          </cell>
          <cell r="X263">
            <v>5.04</v>
          </cell>
          <cell r="Y263">
            <v>5.04</v>
          </cell>
          <cell r="Z263">
            <v>5.04</v>
          </cell>
          <cell r="AA263">
            <v>5.04</v>
          </cell>
          <cell r="AB263">
            <v>60</v>
          </cell>
          <cell r="AC263">
            <v>42.77</v>
          </cell>
          <cell r="AD263">
            <v>12</v>
          </cell>
          <cell r="AE263">
            <v>6.16</v>
          </cell>
          <cell r="AF263">
            <v>2.5</v>
          </cell>
          <cell r="AG263">
            <v>3</v>
          </cell>
          <cell r="AH263">
            <v>0.9</v>
          </cell>
          <cell r="AI263">
            <v>0.4</v>
          </cell>
          <cell r="AJ263">
            <v>1.74</v>
          </cell>
        </row>
        <row r="264">
          <cell r="C264">
            <v>246.31</v>
          </cell>
          <cell r="D264">
            <v>70.31</v>
          </cell>
          <cell r="E264">
            <v>198.23</v>
          </cell>
          <cell r="F264">
            <v>124.21</v>
          </cell>
          <cell r="G264">
            <v>24.01</v>
          </cell>
          <cell r="H264">
            <v>119.92</v>
          </cell>
          <cell r="I264">
            <v>69.08</v>
          </cell>
          <cell r="J264">
            <v>69.08</v>
          </cell>
          <cell r="K264">
            <v>2.6</v>
          </cell>
          <cell r="L264">
            <v>3.6</v>
          </cell>
          <cell r="M264">
            <v>3.6</v>
          </cell>
          <cell r="N264">
            <v>0.6</v>
          </cell>
          <cell r="O264">
            <v>41.45</v>
          </cell>
          <cell r="P264">
            <v>33.700000000000003</v>
          </cell>
          <cell r="Q264">
            <v>41.45</v>
          </cell>
          <cell r="R264">
            <v>32.68</v>
          </cell>
          <cell r="S264">
            <v>4.68</v>
          </cell>
          <cell r="T264">
            <v>4.68</v>
          </cell>
          <cell r="U264">
            <v>4.68</v>
          </cell>
          <cell r="V264">
            <v>4.68</v>
          </cell>
          <cell r="W264">
            <v>4.68</v>
          </cell>
          <cell r="X264">
            <v>5.04</v>
          </cell>
          <cell r="Y264">
            <v>5.04</v>
          </cell>
          <cell r="Z264">
            <v>5.04</v>
          </cell>
          <cell r="AA264">
            <v>5.04</v>
          </cell>
          <cell r="AB264">
            <v>60</v>
          </cell>
          <cell r="AC264">
            <v>79.27</v>
          </cell>
          <cell r="AD264">
            <v>12</v>
          </cell>
          <cell r="AE264">
            <v>6.16</v>
          </cell>
          <cell r="AF264">
            <v>2.5</v>
          </cell>
          <cell r="AG264">
            <v>3</v>
          </cell>
          <cell r="AH264">
            <v>1.27</v>
          </cell>
          <cell r="AI264">
            <v>0.4</v>
          </cell>
          <cell r="AJ264">
            <v>1.74</v>
          </cell>
        </row>
        <row r="265">
          <cell r="C265">
            <v>616.48</v>
          </cell>
          <cell r="D265">
            <v>70.31</v>
          </cell>
          <cell r="E265">
            <v>198.23</v>
          </cell>
          <cell r="F265">
            <v>124.21</v>
          </cell>
          <cell r="G265">
            <v>24.01</v>
          </cell>
          <cell r="H265">
            <v>119.92</v>
          </cell>
          <cell r="I265">
            <v>69.08</v>
          </cell>
          <cell r="J265">
            <v>69.08</v>
          </cell>
          <cell r="K265">
            <v>2.6</v>
          </cell>
          <cell r="L265">
            <v>3.6</v>
          </cell>
          <cell r="M265">
            <v>3.6</v>
          </cell>
          <cell r="N265">
            <v>0.6</v>
          </cell>
          <cell r="O265">
            <v>41.45</v>
          </cell>
          <cell r="P265">
            <v>33.700000000000003</v>
          </cell>
          <cell r="Q265">
            <v>41.45</v>
          </cell>
          <cell r="R265">
            <v>32.68</v>
          </cell>
          <cell r="S265">
            <v>4.68</v>
          </cell>
          <cell r="T265">
            <v>4.68</v>
          </cell>
          <cell r="U265">
            <v>4.68</v>
          </cell>
          <cell r="V265">
            <v>4.68</v>
          </cell>
          <cell r="W265">
            <v>4.68</v>
          </cell>
          <cell r="X265">
            <v>5.04</v>
          </cell>
          <cell r="Y265">
            <v>5.04</v>
          </cell>
          <cell r="Z265">
            <v>5.04</v>
          </cell>
          <cell r="AA265">
            <v>5.04</v>
          </cell>
          <cell r="AB265">
            <v>154.4</v>
          </cell>
          <cell r="AC265">
            <v>79.27</v>
          </cell>
          <cell r="AD265">
            <v>37.04</v>
          </cell>
          <cell r="AE265">
            <v>6.16</v>
          </cell>
          <cell r="AF265">
            <v>4.82</v>
          </cell>
          <cell r="AG265">
            <v>10.029999999999999</v>
          </cell>
          <cell r="AH265">
            <v>1.44</v>
          </cell>
          <cell r="AI265">
            <v>0.77</v>
          </cell>
          <cell r="AJ265">
            <v>1.74</v>
          </cell>
        </row>
        <row r="266">
          <cell r="C266">
            <v>598.37</v>
          </cell>
          <cell r="D266">
            <v>70.31</v>
          </cell>
          <cell r="E266">
            <v>198.23</v>
          </cell>
          <cell r="F266">
            <v>124.21</v>
          </cell>
          <cell r="G266">
            <v>24.01</v>
          </cell>
          <cell r="H266">
            <v>119.92</v>
          </cell>
          <cell r="I266">
            <v>69.08</v>
          </cell>
          <cell r="J266">
            <v>69.08</v>
          </cell>
          <cell r="K266">
            <v>2.6</v>
          </cell>
          <cell r="L266">
            <v>3.6</v>
          </cell>
          <cell r="M266">
            <v>3.6</v>
          </cell>
          <cell r="N266">
            <v>0.6</v>
          </cell>
          <cell r="O266">
            <v>41.45</v>
          </cell>
          <cell r="P266">
            <v>33.700000000000003</v>
          </cell>
          <cell r="Q266">
            <v>41.45</v>
          </cell>
          <cell r="R266">
            <v>32.68</v>
          </cell>
          <cell r="S266">
            <v>4.68</v>
          </cell>
          <cell r="T266">
            <v>4.68</v>
          </cell>
          <cell r="U266">
            <v>4.68</v>
          </cell>
          <cell r="V266">
            <v>4.68</v>
          </cell>
          <cell r="W266">
            <v>4.68</v>
          </cell>
          <cell r="X266">
            <v>5.04</v>
          </cell>
          <cell r="Y266">
            <v>5.04</v>
          </cell>
          <cell r="Z266">
            <v>5.04</v>
          </cell>
          <cell r="AA266">
            <v>5.04</v>
          </cell>
          <cell r="AB266">
            <v>154.4</v>
          </cell>
          <cell r="AC266">
            <v>79.27</v>
          </cell>
          <cell r="AD266">
            <v>37.04</v>
          </cell>
          <cell r="AE266">
            <v>6.16</v>
          </cell>
          <cell r="AF266">
            <v>4.82</v>
          </cell>
          <cell r="AG266">
            <v>10.029999999999999</v>
          </cell>
          <cell r="AH266">
            <v>1.44</v>
          </cell>
          <cell r="AI266">
            <v>0.77</v>
          </cell>
          <cell r="AJ266">
            <v>1.74</v>
          </cell>
        </row>
        <row r="267">
          <cell r="C267">
            <v>498.72</v>
          </cell>
          <cell r="D267">
            <v>70.31</v>
          </cell>
          <cell r="E267">
            <v>198.23</v>
          </cell>
          <cell r="F267">
            <v>124.21</v>
          </cell>
          <cell r="G267">
            <v>24.01</v>
          </cell>
          <cell r="H267">
            <v>119.92</v>
          </cell>
          <cell r="I267">
            <v>69.08</v>
          </cell>
          <cell r="J267">
            <v>69.08</v>
          </cell>
          <cell r="K267">
            <v>2.6</v>
          </cell>
          <cell r="L267">
            <v>3.6</v>
          </cell>
          <cell r="M267">
            <v>3.6</v>
          </cell>
          <cell r="N267">
            <v>0.6</v>
          </cell>
          <cell r="O267">
            <v>41.45</v>
          </cell>
          <cell r="P267">
            <v>33.700000000000003</v>
          </cell>
          <cell r="Q267">
            <v>41.45</v>
          </cell>
          <cell r="R267">
            <v>32.68</v>
          </cell>
          <cell r="S267">
            <v>4.68</v>
          </cell>
          <cell r="T267">
            <v>4.68</v>
          </cell>
          <cell r="U267">
            <v>4.68</v>
          </cell>
          <cell r="V267">
            <v>4.68</v>
          </cell>
          <cell r="W267">
            <v>4.68</v>
          </cell>
          <cell r="X267">
            <v>5.04</v>
          </cell>
          <cell r="Y267">
            <v>5.04</v>
          </cell>
          <cell r="Z267">
            <v>5.04</v>
          </cell>
          <cell r="AA267">
            <v>5.04</v>
          </cell>
          <cell r="AB267">
            <v>127.76</v>
          </cell>
          <cell r="AC267">
            <v>79.27</v>
          </cell>
          <cell r="AD267">
            <v>37.04</v>
          </cell>
          <cell r="AE267">
            <v>6.16</v>
          </cell>
          <cell r="AF267">
            <v>3.38</v>
          </cell>
          <cell r="AG267">
            <v>6.59</v>
          </cell>
          <cell r="AH267">
            <v>1.44</v>
          </cell>
          <cell r="AI267">
            <v>0.41</v>
          </cell>
          <cell r="AJ267">
            <v>1.74</v>
          </cell>
        </row>
        <row r="268">
          <cell r="C268">
            <v>372.15</v>
          </cell>
          <cell r="D268">
            <v>70.31</v>
          </cell>
          <cell r="E268">
            <v>198.23</v>
          </cell>
          <cell r="F268">
            <v>124.21</v>
          </cell>
          <cell r="G268">
            <v>24.01</v>
          </cell>
          <cell r="H268">
            <v>119.92</v>
          </cell>
          <cell r="I268">
            <v>69.08</v>
          </cell>
          <cell r="J268">
            <v>69.08</v>
          </cell>
          <cell r="K268">
            <v>2.6</v>
          </cell>
          <cell r="L268">
            <v>3.6</v>
          </cell>
          <cell r="M268">
            <v>3.6</v>
          </cell>
          <cell r="N268">
            <v>0.6</v>
          </cell>
          <cell r="O268">
            <v>41.45</v>
          </cell>
          <cell r="P268">
            <v>33.700000000000003</v>
          </cell>
          <cell r="Q268">
            <v>41.45</v>
          </cell>
          <cell r="R268">
            <v>32.68</v>
          </cell>
          <cell r="S268">
            <v>4.68</v>
          </cell>
          <cell r="T268">
            <v>4.68</v>
          </cell>
          <cell r="U268">
            <v>4.68</v>
          </cell>
          <cell r="V268">
            <v>4.68</v>
          </cell>
          <cell r="W268">
            <v>4.68</v>
          </cell>
          <cell r="X268">
            <v>5.04</v>
          </cell>
          <cell r="Y268">
            <v>5.04</v>
          </cell>
          <cell r="Z268">
            <v>5.04</v>
          </cell>
          <cell r="AA268">
            <v>5.04</v>
          </cell>
          <cell r="AB268">
            <v>60</v>
          </cell>
          <cell r="AC268">
            <v>79.27</v>
          </cell>
          <cell r="AD268">
            <v>28.18</v>
          </cell>
          <cell r="AE268">
            <v>6.16</v>
          </cell>
          <cell r="AF268">
            <v>2.5</v>
          </cell>
          <cell r="AG268">
            <v>3</v>
          </cell>
          <cell r="AH268">
            <v>1.44</v>
          </cell>
          <cell r="AI268">
            <v>0.4</v>
          </cell>
          <cell r="AJ268">
            <v>1.74</v>
          </cell>
        </row>
        <row r="269">
          <cell r="C269">
            <v>275.7</v>
          </cell>
          <cell r="D269">
            <v>70.31</v>
          </cell>
          <cell r="E269">
            <v>198.23</v>
          </cell>
          <cell r="F269">
            <v>124.21</v>
          </cell>
          <cell r="G269">
            <v>0</v>
          </cell>
          <cell r="H269">
            <v>119.92</v>
          </cell>
          <cell r="I269">
            <v>69.08</v>
          </cell>
          <cell r="J269">
            <v>69.08</v>
          </cell>
          <cell r="K269">
            <v>2.6</v>
          </cell>
          <cell r="L269">
            <v>3.6</v>
          </cell>
          <cell r="M269">
            <v>3.6</v>
          </cell>
          <cell r="N269">
            <v>0.6</v>
          </cell>
          <cell r="O269">
            <v>41.45</v>
          </cell>
          <cell r="P269">
            <v>33.700000000000003</v>
          </cell>
          <cell r="Q269">
            <v>41.45</v>
          </cell>
          <cell r="R269">
            <v>32.68</v>
          </cell>
          <cell r="S269">
            <v>4.68</v>
          </cell>
          <cell r="T269">
            <v>4.68</v>
          </cell>
          <cell r="U269">
            <v>4.68</v>
          </cell>
          <cell r="V269">
            <v>4.68</v>
          </cell>
          <cell r="W269">
            <v>4.68</v>
          </cell>
          <cell r="X269">
            <v>5.04</v>
          </cell>
          <cell r="Y269">
            <v>5.04</v>
          </cell>
          <cell r="Z269">
            <v>5.04</v>
          </cell>
          <cell r="AA269">
            <v>0</v>
          </cell>
          <cell r="AB269">
            <v>60</v>
          </cell>
          <cell r="AC269">
            <v>32.5</v>
          </cell>
          <cell r="AD269">
            <v>12</v>
          </cell>
          <cell r="AE269">
            <v>6.16</v>
          </cell>
          <cell r="AF269">
            <v>2.5</v>
          </cell>
          <cell r="AG269">
            <v>3</v>
          </cell>
          <cell r="AH269">
            <v>0.9</v>
          </cell>
          <cell r="AI269">
            <v>0.4</v>
          </cell>
          <cell r="AJ269">
            <v>0.9</v>
          </cell>
        </row>
        <row r="270">
          <cell r="C270">
            <v>382.49</v>
          </cell>
          <cell r="D270">
            <v>0</v>
          </cell>
          <cell r="E270">
            <v>0</v>
          </cell>
          <cell r="F270">
            <v>124.21</v>
          </cell>
          <cell r="G270">
            <v>0</v>
          </cell>
          <cell r="H270">
            <v>119.92</v>
          </cell>
          <cell r="I270">
            <v>69.08</v>
          </cell>
          <cell r="J270">
            <v>69.08</v>
          </cell>
          <cell r="K270">
            <v>2.6</v>
          </cell>
          <cell r="L270">
            <v>3.6</v>
          </cell>
          <cell r="M270">
            <v>3.6</v>
          </cell>
          <cell r="N270">
            <v>0.6</v>
          </cell>
          <cell r="O270">
            <v>41.45</v>
          </cell>
          <cell r="P270">
            <v>33.700000000000003</v>
          </cell>
          <cell r="Q270">
            <v>41.45</v>
          </cell>
          <cell r="R270">
            <v>32.68</v>
          </cell>
          <cell r="S270">
            <v>4.68</v>
          </cell>
          <cell r="T270">
            <v>4.68</v>
          </cell>
          <cell r="U270">
            <v>4.68</v>
          </cell>
          <cell r="V270">
            <v>4.68</v>
          </cell>
          <cell r="W270">
            <v>4.68</v>
          </cell>
          <cell r="X270">
            <v>5.04</v>
          </cell>
          <cell r="Y270">
            <v>5.04</v>
          </cell>
          <cell r="Z270">
            <v>5.04</v>
          </cell>
          <cell r="AA270">
            <v>0</v>
          </cell>
          <cell r="AB270">
            <v>60</v>
          </cell>
          <cell r="AC270">
            <v>32.5</v>
          </cell>
          <cell r="AD270">
            <v>12</v>
          </cell>
          <cell r="AE270">
            <v>4</v>
          </cell>
          <cell r="AF270">
            <v>2.5</v>
          </cell>
          <cell r="AG270">
            <v>3</v>
          </cell>
          <cell r="AH270">
            <v>0.9</v>
          </cell>
          <cell r="AI270">
            <v>0.4</v>
          </cell>
          <cell r="AJ270">
            <v>0.9</v>
          </cell>
        </row>
        <row r="272">
          <cell r="C272">
            <v>7878.76</v>
          </cell>
          <cell r="D272">
            <v>1030.58</v>
          </cell>
          <cell r="E272">
            <v>2958.81</v>
          </cell>
          <cell r="F272">
            <v>2981.12</v>
          </cell>
          <cell r="G272">
            <v>312.10000000000002</v>
          </cell>
          <cell r="H272">
            <v>2878.19</v>
          </cell>
          <cell r="I272">
            <v>1657.88</v>
          </cell>
          <cell r="J272">
            <v>1657.88</v>
          </cell>
          <cell r="K272">
            <v>62.39</v>
          </cell>
          <cell r="L272">
            <v>86.39</v>
          </cell>
          <cell r="M272">
            <v>86.39</v>
          </cell>
          <cell r="N272">
            <v>14.39</v>
          </cell>
          <cell r="O272">
            <v>994.75</v>
          </cell>
          <cell r="P272">
            <v>808.82</v>
          </cell>
          <cell r="Q272">
            <v>994.18</v>
          </cell>
          <cell r="R272">
            <v>784.37</v>
          </cell>
          <cell r="S272">
            <v>112.37</v>
          </cell>
          <cell r="T272">
            <v>112.37</v>
          </cell>
          <cell r="U272">
            <v>112.37</v>
          </cell>
          <cell r="V272">
            <v>112.37</v>
          </cell>
          <cell r="W272">
            <v>112.37</v>
          </cell>
          <cell r="X272">
            <v>120.88</v>
          </cell>
          <cell r="Y272">
            <v>120.88</v>
          </cell>
          <cell r="Z272">
            <v>115.85</v>
          </cell>
          <cell r="AA272">
            <v>65.48</v>
          </cell>
          <cell r="AB272">
            <v>1696.55</v>
          </cell>
          <cell r="AC272">
            <v>1024.1400000000001</v>
          </cell>
          <cell r="AD272">
            <v>379.31</v>
          </cell>
          <cell r="AE272">
            <v>127.59</v>
          </cell>
          <cell r="AF272">
            <v>65.52</v>
          </cell>
          <cell r="AG272">
            <v>89.66</v>
          </cell>
          <cell r="AH272">
            <v>24.14</v>
          </cell>
          <cell r="AI272">
            <v>10.34</v>
          </cell>
          <cell r="AJ272">
            <v>31.03</v>
          </cell>
        </row>
        <row r="274">
          <cell r="C274">
            <v>2E-3</v>
          </cell>
          <cell r="D274">
            <v>2E-3</v>
          </cell>
          <cell r="E274">
            <v>2E-3</v>
          </cell>
          <cell r="F274">
            <v>2.5700000000000001E-2</v>
          </cell>
          <cell r="G274">
            <v>3.32E-2</v>
          </cell>
          <cell r="H274">
            <v>2.75E-2</v>
          </cell>
          <cell r="I274">
            <v>2.7799999999999998E-2</v>
          </cell>
          <cell r="J274">
            <v>2.81E-2</v>
          </cell>
          <cell r="K274">
            <v>3.2000000000000001E-2</v>
          </cell>
          <cell r="L274">
            <v>3.2199999999999999E-2</v>
          </cell>
          <cell r="M274">
            <v>3.2199999999999999E-2</v>
          </cell>
          <cell r="N274">
            <v>3.2199999999999999E-2</v>
          </cell>
          <cell r="O274">
            <v>3.9E-2</v>
          </cell>
          <cell r="P274">
            <v>3.95E-2</v>
          </cell>
          <cell r="Q274">
            <v>4.1000000000000002E-2</v>
          </cell>
          <cell r="R274">
            <v>3.4299999999999997E-2</v>
          </cell>
          <cell r="S274">
            <v>3.7100000000000001E-2</v>
          </cell>
          <cell r="T274">
            <v>3.7100000000000001E-2</v>
          </cell>
          <cell r="U274">
            <v>3.7100000000000001E-2</v>
          </cell>
          <cell r="V274">
            <v>3.7100000000000001E-2</v>
          </cell>
          <cell r="W274">
            <v>3.7100000000000001E-2</v>
          </cell>
          <cell r="X274">
            <v>4.0899999999999999E-2</v>
          </cell>
          <cell r="Y274">
            <v>4.0899999999999999E-2</v>
          </cell>
          <cell r="Z274">
            <v>4.0899999999999999E-2</v>
          </cell>
          <cell r="AA274">
            <v>4.0899999999999999E-2</v>
          </cell>
          <cell r="AB274">
            <v>2E-3</v>
          </cell>
          <cell r="AC274">
            <v>2E-3</v>
          </cell>
          <cell r="AD274">
            <v>2E-3</v>
          </cell>
          <cell r="AE274">
            <v>2E-3</v>
          </cell>
          <cell r="AF274">
            <v>2E-3</v>
          </cell>
          <cell r="AG274">
            <v>2E-3</v>
          </cell>
          <cell r="AH274">
            <v>2E-3</v>
          </cell>
          <cell r="AI274">
            <v>2E-3</v>
          </cell>
          <cell r="AJ274">
            <v>2E-3</v>
          </cell>
        </row>
        <row r="285">
          <cell r="C285" t="str">
            <v xml:space="preserve">H-PAUTE </v>
          </cell>
          <cell r="D285" t="str">
            <v>H-PUCARA</v>
          </cell>
          <cell r="E285" t="str">
            <v>H-NACION</v>
          </cell>
          <cell r="F285" t="str">
            <v>E-TRINIT</v>
          </cell>
          <cell r="G285" t="str">
            <v>IN-COLOM</v>
          </cell>
          <cell r="H285" t="str">
            <v xml:space="preserve">T-ESMER </v>
          </cell>
          <cell r="I285" t="str">
            <v>E.GZ.TV3</v>
          </cell>
          <cell r="J285" t="str">
            <v>E.GZ.TV2</v>
          </cell>
          <cell r="K285" t="str">
            <v>CSURDES1</v>
          </cell>
          <cell r="L285" t="str">
            <v>CSURDES2</v>
          </cell>
          <cell r="M285" t="str">
            <v>CSURDES3</v>
          </cell>
          <cell r="N285" t="str">
            <v>CSURDES4</v>
          </cell>
          <cell r="O285" t="str">
            <v>E.VASANT</v>
          </cell>
          <cell r="P285" t="str">
            <v>TPGUANG2</v>
          </cell>
          <cell r="Q285" t="str">
            <v>TPGUANG3</v>
          </cell>
          <cell r="R285" t="str">
            <v>TPGUANG4</v>
          </cell>
          <cell r="S285" t="str">
            <v>TPGUANG5</v>
          </cell>
          <cell r="T285" t="str">
            <v>AGOYAN_H</v>
          </cell>
          <cell r="U285" t="str">
            <v>EEQ_HIDR</v>
          </cell>
          <cell r="V285" t="str">
            <v xml:space="preserve">C-SUR_H </v>
          </cell>
          <cell r="W285" t="str">
            <v>RIOBAM_H</v>
          </cell>
          <cell r="X285" t="str">
            <v>COTOPX_H</v>
          </cell>
          <cell r="Y285" t="str">
            <v>RNORTE_H</v>
          </cell>
          <cell r="Z285" t="str">
            <v>AMBATO_H</v>
          </cell>
          <cell r="AA285" t="str">
            <v>BOLIVR_H</v>
          </cell>
          <cell r="AB285" t="str">
            <v xml:space="preserve">R-SUR_H </v>
          </cell>
        </row>
        <row r="287">
          <cell r="C287">
            <v>377</v>
          </cell>
          <cell r="D287">
            <v>0</v>
          </cell>
          <cell r="E287">
            <v>0</v>
          </cell>
          <cell r="F287">
            <v>124.21</v>
          </cell>
          <cell r="G287">
            <v>0</v>
          </cell>
          <cell r="H287">
            <v>119.92</v>
          </cell>
          <cell r="I287">
            <v>69.08</v>
          </cell>
          <cell r="J287">
            <v>69.08</v>
          </cell>
          <cell r="K287">
            <v>2.6</v>
          </cell>
          <cell r="L287">
            <v>3.6</v>
          </cell>
          <cell r="M287">
            <v>3.6</v>
          </cell>
          <cell r="N287">
            <v>0.6</v>
          </cell>
          <cell r="O287">
            <v>32.68</v>
          </cell>
          <cell r="P287">
            <v>4.68</v>
          </cell>
          <cell r="Q287">
            <v>4.68</v>
          </cell>
          <cell r="R287">
            <v>4.68</v>
          </cell>
          <cell r="S287">
            <v>0</v>
          </cell>
          <cell r="T287">
            <v>60</v>
          </cell>
          <cell r="U287">
            <v>32.5</v>
          </cell>
          <cell r="V287">
            <v>12</v>
          </cell>
          <cell r="W287">
            <v>4</v>
          </cell>
          <cell r="X287">
            <v>2.5</v>
          </cell>
          <cell r="Y287">
            <v>3</v>
          </cell>
          <cell r="Z287">
            <v>0.9</v>
          </cell>
          <cell r="AA287">
            <v>0.4</v>
          </cell>
          <cell r="AB287">
            <v>0.9</v>
          </cell>
        </row>
        <row r="288">
          <cell r="C288">
            <v>343.22</v>
          </cell>
          <cell r="D288">
            <v>0</v>
          </cell>
          <cell r="E288">
            <v>0</v>
          </cell>
          <cell r="F288">
            <v>124.21</v>
          </cell>
          <cell r="G288">
            <v>0</v>
          </cell>
          <cell r="H288">
            <v>119.92</v>
          </cell>
          <cell r="I288">
            <v>69.08</v>
          </cell>
          <cell r="J288">
            <v>69.08</v>
          </cell>
          <cell r="K288">
            <v>2.6</v>
          </cell>
          <cell r="L288">
            <v>3.6</v>
          </cell>
          <cell r="M288">
            <v>3.6</v>
          </cell>
          <cell r="N288">
            <v>0.6</v>
          </cell>
          <cell r="O288">
            <v>32.68</v>
          </cell>
          <cell r="P288">
            <v>4.68</v>
          </cell>
          <cell r="Q288">
            <v>4.68</v>
          </cell>
          <cell r="R288">
            <v>4.68</v>
          </cell>
          <cell r="S288">
            <v>0</v>
          </cell>
          <cell r="T288">
            <v>60</v>
          </cell>
          <cell r="U288">
            <v>32.5</v>
          </cell>
          <cell r="V288">
            <v>12</v>
          </cell>
          <cell r="W288">
            <v>4</v>
          </cell>
          <cell r="X288">
            <v>2.5</v>
          </cell>
          <cell r="Y288">
            <v>3</v>
          </cell>
          <cell r="Z288">
            <v>0.9</v>
          </cell>
          <cell r="AA288">
            <v>0.4</v>
          </cell>
          <cell r="AB288">
            <v>0.9</v>
          </cell>
        </row>
        <row r="289">
          <cell r="C289">
            <v>309.47000000000003</v>
          </cell>
          <cell r="D289">
            <v>0</v>
          </cell>
          <cell r="E289">
            <v>0</v>
          </cell>
          <cell r="F289">
            <v>124.21</v>
          </cell>
          <cell r="G289">
            <v>0</v>
          </cell>
          <cell r="H289">
            <v>119.92</v>
          </cell>
          <cell r="I289">
            <v>69.08</v>
          </cell>
          <cell r="J289">
            <v>69.08</v>
          </cell>
          <cell r="K289">
            <v>2.6</v>
          </cell>
          <cell r="L289">
            <v>3.6</v>
          </cell>
          <cell r="M289">
            <v>3.6</v>
          </cell>
          <cell r="N289">
            <v>0.6</v>
          </cell>
          <cell r="O289">
            <v>32.68</v>
          </cell>
          <cell r="P289">
            <v>4.68</v>
          </cell>
          <cell r="Q289">
            <v>4.68</v>
          </cell>
          <cell r="R289">
            <v>4.68</v>
          </cell>
          <cell r="S289">
            <v>0</v>
          </cell>
          <cell r="T289">
            <v>60</v>
          </cell>
          <cell r="U289">
            <v>32.5</v>
          </cell>
          <cell r="V289">
            <v>12</v>
          </cell>
          <cell r="W289">
            <v>4</v>
          </cell>
          <cell r="X289">
            <v>2.5</v>
          </cell>
          <cell r="Y289">
            <v>3</v>
          </cell>
          <cell r="Z289">
            <v>0.9</v>
          </cell>
          <cell r="AA289">
            <v>0.4</v>
          </cell>
          <cell r="AB289">
            <v>0.9</v>
          </cell>
        </row>
        <row r="290">
          <cell r="C290">
            <v>297.27999999999997</v>
          </cell>
          <cell r="D290">
            <v>0</v>
          </cell>
          <cell r="E290">
            <v>0</v>
          </cell>
          <cell r="F290">
            <v>124.21</v>
          </cell>
          <cell r="G290">
            <v>0</v>
          </cell>
          <cell r="H290">
            <v>119.92</v>
          </cell>
          <cell r="I290">
            <v>69.08</v>
          </cell>
          <cell r="J290">
            <v>69.08</v>
          </cell>
          <cell r="K290">
            <v>2.6</v>
          </cell>
          <cell r="L290">
            <v>3.6</v>
          </cell>
          <cell r="M290">
            <v>3.6</v>
          </cell>
          <cell r="N290">
            <v>0.6</v>
          </cell>
          <cell r="O290">
            <v>32.68</v>
          </cell>
          <cell r="P290">
            <v>4.68</v>
          </cell>
          <cell r="Q290">
            <v>2.71</v>
          </cell>
          <cell r="R290">
            <v>4.68</v>
          </cell>
          <cell r="S290">
            <v>0</v>
          </cell>
          <cell r="T290">
            <v>60</v>
          </cell>
          <cell r="U290">
            <v>32.5</v>
          </cell>
          <cell r="V290">
            <v>12</v>
          </cell>
          <cell r="W290">
            <v>4</v>
          </cell>
          <cell r="X290">
            <v>2.5</v>
          </cell>
          <cell r="Y290">
            <v>3</v>
          </cell>
          <cell r="Z290">
            <v>0.9</v>
          </cell>
          <cell r="AA290">
            <v>0.4</v>
          </cell>
          <cell r="AB290">
            <v>0.9</v>
          </cell>
        </row>
        <row r="291">
          <cell r="C291">
            <v>281.37</v>
          </cell>
          <cell r="D291">
            <v>0</v>
          </cell>
          <cell r="E291">
            <v>0</v>
          </cell>
          <cell r="F291">
            <v>124.21</v>
          </cell>
          <cell r="G291">
            <v>0</v>
          </cell>
          <cell r="H291">
            <v>119.92</v>
          </cell>
          <cell r="I291">
            <v>69.08</v>
          </cell>
          <cell r="J291">
            <v>69.08</v>
          </cell>
          <cell r="K291">
            <v>2.6</v>
          </cell>
          <cell r="L291">
            <v>3.6</v>
          </cell>
          <cell r="M291">
            <v>3.6</v>
          </cell>
          <cell r="N291">
            <v>0.6</v>
          </cell>
          <cell r="O291">
            <v>32.68</v>
          </cell>
          <cell r="P291">
            <v>4.68</v>
          </cell>
          <cell r="Q291">
            <v>4.68</v>
          </cell>
          <cell r="R291">
            <v>4.68</v>
          </cell>
          <cell r="S291">
            <v>0</v>
          </cell>
          <cell r="T291">
            <v>60</v>
          </cell>
          <cell r="U291">
            <v>32.5</v>
          </cell>
          <cell r="V291">
            <v>12</v>
          </cell>
          <cell r="W291">
            <v>4</v>
          </cell>
          <cell r="X291">
            <v>2.5</v>
          </cell>
          <cell r="Y291">
            <v>3</v>
          </cell>
          <cell r="Z291">
            <v>0.9</v>
          </cell>
          <cell r="AA291">
            <v>0.4</v>
          </cell>
          <cell r="AB291">
            <v>0.9</v>
          </cell>
        </row>
        <row r="292">
          <cell r="C292">
            <v>307.92</v>
          </cell>
          <cell r="D292">
            <v>0</v>
          </cell>
          <cell r="E292">
            <v>0</v>
          </cell>
          <cell r="F292">
            <v>124.21</v>
          </cell>
          <cell r="G292">
            <v>0</v>
          </cell>
          <cell r="H292">
            <v>119.92</v>
          </cell>
          <cell r="I292">
            <v>69.08</v>
          </cell>
          <cell r="J292">
            <v>69.08</v>
          </cell>
          <cell r="K292">
            <v>2.6</v>
          </cell>
          <cell r="L292">
            <v>3.6</v>
          </cell>
          <cell r="M292">
            <v>3.6</v>
          </cell>
          <cell r="N292">
            <v>0.6</v>
          </cell>
          <cell r="O292">
            <v>32.68</v>
          </cell>
          <cell r="P292">
            <v>4.68</v>
          </cell>
          <cell r="Q292">
            <v>4.68</v>
          </cell>
          <cell r="R292">
            <v>4.68</v>
          </cell>
          <cell r="S292">
            <v>0</v>
          </cell>
          <cell r="T292">
            <v>60</v>
          </cell>
          <cell r="U292">
            <v>32.5</v>
          </cell>
          <cell r="V292">
            <v>12</v>
          </cell>
          <cell r="W292">
            <v>4</v>
          </cell>
          <cell r="X292">
            <v>2.5</v>
          </cell>
          <cell r="Y292">
            <v>3</v>
          </cell>
          <cell r="Z292">
            <v>0.9</v>
          </cell>
          <cell r="AA292">
            <v>0.4</v>
          </cell>
          <cell r="AB292">
            <v>0.9</v>
          </cell>
        </row>
        <row r="293">
          <cell r="C293">
            <v>255.09</v>
          </cell>
          <cell r="D293">
            <v>0</v>
          </cell>
          <cell r="E293">
            <v>0</v>
          </cell>
          <cell r="F293">
            <v>124.21</v>
          </cell>
          <cell r="G293">
            <v>0</v>
          </cell>
          <cell r="H293">
            <v>119.92</v>
          </cell>
          <cell r="I293">
            <v>69.08</v>
          </cell>
          <cell r="J293">
            <v>69.08</v>
          </cell>
          <cell r="K293">
            <v>2.6</v>
          </cell>
          <cell r="L293">
            <v>3.6</v>
          </cell>
          <cell r="M293">
            <v>3.6</v>
          </cell>
          <cell r="N293">
            <v>0.6</v>
          </cell>
          <cell r="O293">
            <v>32.68</v>
          </cell>
          <cell r="P293">
            <v>4.68</v>
          </cell>
          <cell r="Q293">
            <v>4.68</v>
          </cell>
          <cell r="R293">
            <v>4.68</v>
          </cell>
          <cell r="S293">
            <v>0</v>
          </cell>
          <cell r="T293">
            <v>60</v>
          </cell>
          <cell r="U293">
            <v>32.5</v>
          </cell>
          <cell r="V293">
            <v>12</v>
          </cell>
          <cell r="W293">
            <v>4</v>
          </cell>
          <cell r="X293">
            <v>2.5</v>
          </cell>
          <cell r="Y293">
            <v>3</v>
          </cell>
          <cell r="Z293">
            <v>0.9</v>
          </cell>
          <cell r="AA293">
            <v>0.4</v>
          </cell>
          <cell r="AB293">
            <v>0.9</v>
          </cell>
        </row>
        <row r="294">
          <cell r="C294">
            <v>282.86</v>
          </cell>
          <cell r="D294">
            <v>0</v>
          </cell>
          <cell r="E294">
            <v>0</v>
          </cell>
          <cell r="F294">
            <v>124.21</v>
          </cell>
          <cell r="G294">
            <v>0</v>
          </cell>
          <cell r="H294">
            <v>119.92</v>
          </cell>
          <cell r="I294">
            <v>69.08</v>
          </cell>
          <cell r="J294">
            <v>69.08</v>
          </cell>
          <cell r="K294">
            <v>2.6</v>
          </cell>
          <cell r="L294">
            <v>3.6</v>
          </cell>
          <cell r="M294">
            <v>3.6</v>
          </cell>
          <cell r="N294">
            <v>0.6</v>
          </cell>
          <cell r="O294">
            <v>32.68</v>
          </cell>
          <cell r="P294">
            <v>4.68</v>
          </cell>
          <cell r="Q294">
            <v>4.68</v>
          </cell>
          <cell r="R294">
            <v>4.68</v>
          </cell>
          <cell r="S294">
            <v>0</v>
          </cell>
          <cell r="T294">
            <v>60</v>
          </cell>
          <cell r="U294">
            <v>32.5</v>
          </cell>
          <cell r="V294">
            <v>12</v>
          </cell>
          <cell r="W294">
            <v>4</v>
          </cell>
          <cell r="X294">
            <v>2.5</v>
          </cell>
          <cell r="Y294">
            <v>3</v>
          </cell>
          <cell r="Z294">
            <v>0.9</v>
          </cell>
          <cell r="AA294">
            <v>0.4</v>
          </cell>
          <cell r="AB294">
            <v>0.9</v>
          </cell>
        </row>
        <row r="295">
          <cell r="C295">
            <v>307.32</v>
          </cell>
          <cell r="D295">
            <v>0</v>
          </cell>
          <cell r="E295">
            <v>0</v>
          </cell>
          <cell r="F295">
            <v>124.21</v>
          </cell>
          <cell r="G295">
            <v>0</v>
          </cell>
          <cell r="H295">
            <v>119.92</v>
          </cell>
          <cell r="I295">
            <v>69.08</v>
          </cell>
          <cell r="J295">
            <v>69.08</v>
          </cell>
          <cell r="K295">
            <v>2.6</v>
          </cell>
          <cell r="L295">
            <v>3.6</v>
          </cell>
          <cell r="M295">
            <v>3.6</v>
          </cell>
          <cell r="N295">
            <v>0.6</v>
          </cell>
          <cell r="O295">
            <v>32.68</v>
          </cell>
          <cell r="P295">
            <v>4.68</v>
          </cell>
          <cell r="Q295">
            <v>4.68</v>
          </cell>
          <cell r="R295">
            <v>4.68</v>
          </cell>
          <cell r="S295">
            <v>0</v>
          </cell>
          <cell r="T295">
            <v>60</v>
          </cell>
          <cell r="U295">
            <v>32.5</v>
          </cell>
          <cell r="V295">
            <v>12</v>
          </cell>
          <cell r="W295">
            <v>5.32</v>
          </cell>
          <cell r="X295">
            <v>2.5</v>
          </cell>
          <cell r="Y295">
            <v>3</v>
          </cell>
          <cell r="Z295">
            <v>0.9</v>
          </cell>
          <cell r="AA295">
            <v>0.4</v>
          </cell>
          <cell r="AB295">
            <v>0.9</v>
          </cell>
        </row>
        <row r="296">
          <cell r="C296">
            <v>322.66000000000003</v>
          </cell>
          <cell r="D296">
            <v>0</v>
          </cell>
          <cell r="E296">
            <v>0</v>
          </cell>
          <cell r="F296">
            <v>124.21</v>
          </cell>
          <cell r="G296">
            <v>24.01</v>
          </cell>
          <cell r="H296">
            <v>119.92</v>
          </cell>
          <cell r="I296">
            <v>69.08</v>
          </cell>
          <cell r="J296">
            <v>69.08</v>
          </cell>
          <cell r="K296">
            <v>2.6</v>
          </cell>
          <cell r="L296">
            <v>3.6</v>
          </cell>
          <cell r="M296">
            <v>3.6</v>
          </cell>
          <cell r="N296">
            <v>0.6</v>
          </cell>
          <cell r="O296">
            <v>32.68</v>
          </cell>
          <cell r="P296">
            <v>4.68</v>
          </cell>
          <cell r="Q296">
            <v>4.68</v>
          </cell>
          <cell r="R296">
            <v>4.68</v>
          </cell>
          <cell r="S296">
            <v>0</v>
          </cell>
          <cell r="T296">
            <v>60</v>
          </cell>
          <cell r="U296">
            <v>32.5</v>
          </cell>
          <cell r="V296">
            <v>12</v>
          </cell>
          <cell r="W296">
            <v>6.16</v>
          </cell>
          <cell r="X296">
            <v>2.5</v>
          </cell>
          <cell r="Y296">
            <v>3</v>
          </cell>
          <cell r="Z296">
            <v>0.9</v>
          </cell>
          <cell r="AA296">
            <v>0.4</v>
          </cell>
          <cell r="AB296">
            <v>0.9</v>
          </cell>
        </row>
        <row r="297">
          <cell r="C297">
            <v>86.82</v>
          </cell>
          <cell r="D297">
            <v>52.95</v>
          </cell>
          <cell r="E297">
            <v>192.08</v>
          </cell>
          <cell r="F297">
            <v>124.21</v>
          </cell>
          <cell r="G297">
            <v>24.01</v>
          </cell>
          <cell r="H297">
            <v>119.92</v>
          </cell>
          <cell r="I297">
            <v>69.08</v>
          </cell>
          <cell r="J297">
            <v>69.08</v>
          </cell>
          <cell r="K297">
            <v>2.6</v>
          </cell>
          <cell r="L297">
            <v>3.6</v>
          </cell>
          <cell r="M297">
            <v>3.6</v>
          </cell>
          <cell r="N297">
            <v>0.6</v>
          </cell>
          <cell r="O297">
            <v>32.68</v>
          </cell>
          <cell r="P297">
            <v>4.68</v>
          </cell>
          <cell r="Q297">
            <v>4.68</v>
          </cell>
          <cell r="R297">
            <v>4.68</v>
          </cell>
          <cell r="S297">
            <v>0</v>
          </cell>
          <cell r="T297">
            <v>60</v>
          </cell>
          <cell r="U297">
            <v>32.5</v>
          </cell>
          <cell r="V297">
            <v>12</v>
          </cell>
          <cell r="W297">
            <v>6.16</v>
          </cell>
          <cell r="X297">
            <v>2.5</v>
          </cell>
          <cell r="Y297">
            <v>3</v>
          </cell>
          <cell r="Z297">
            <v>0.9</v>
          </cell>
          <cell r="AA297">
            <v>0.4</v>
          </cell>
          <cell r="AB297">
            <v>1.1399999999999999</v>
          </cell>
        </row>
        <row r="298">
          <cell r="C298">
            <v>75.45</v>
          </cell>
          <cell r="D298">
            <v>70.31</v>
          </cell>
          <cell r="E298">
            <v>198.23</v>
          </cell>
          <cell r="F298">
            <v>124.21</v>
          </cell>
          <cell r="G298">
            <v>24.01</v>
          </cell>
          <cell r="H298">
            <v>119.92</v>
          </cell>
          <cell r="I298">
            <v>69.08</v>
          </cell>
          <cell r="J298">
            <v>69.08</v>
          </cell>
          <cell r="K298">
            <v>2.6</v>
          </cell>
          <cell r="L298">
            <v>3.6</v>
          </cell>
          <cell r="M298">
            <v>3.6</v>
          </cell>
          <cell r="N298">
            <v>0.6</v>
          </cell>
          <cell r="O298">
            <v>32.68</v>
          </cell>
          <cell r="P298">
            <v>4.68</v>
          </cell>
          <cell r="Q298">
            <v>4.68</v>
          </cell>
          <cell r="R298">
            <v>4.68</v>
          </cell>
          <cell r="S298">
            <v>0</v>
          </cell>
          <cell r="T298">
            <v>60</v>
          </cell>
          <cell r="U298">
            <v>32.5</v>
          </cell>
          <cell r="V298">
            <v>12</v>
          </cell>
          <cell r="W298">
            <v>6.16</v>
          </cell>
          <cell r="X298">
            <v>2.5</v>
          </cell>
          <cell r="Y298">
            <v>3</v>
          </cell>
          <cell r="Z298">
            <v>0.9</v>
          </cell>
          <cell r="AA298">
            <v>0.4</v>
          </cell>
          <cell r="AB298">
            <v>1.74</v>
          </cell>
        </row>
        <row r="299">
          <cell r="C299">
            <v>69.94</v>
          </cell>
          <cell r="D299">
            <v>70.31</v>
          </cell>
          <cell r="E299">
            <v>198.23</v>
          </cell>
          <cell r="F299">
            <v>124.21</v>
          </cell>
          <cell r="G299">
            <v>24.01</v>
          </cell>
          <cell r="H299">
            <v>119.92</v>
          </cell>
          <cell r="I299">
            <v>69.08</v>
          </cell>
          <cell r="J299">
            <v>69.08</v>
          </cell>
          <cell r="K299">
            <v>2.6</v>
          </cell>
          <cell r="L299">
            <v>3.6</v>
          </cell>
          <cell r="M299">
            <v>3.6</v>
          </cell>
          <cell r="N299">
            <v>0.6</v>
          </cell>
          <cell r="O299">
            <v>32.68</v>
          </cell>
          <cell r="P299">
            <v>4.68</v>
          </cell>
          <cell r="Q299">
            <v>4.68</v>
          </cell>
          <cell r="R299">
            <v>4.68</v>
          </cell>
          <cell r="S299">
            <v>0</v>
          </cell>
          <cell r="T299">
            <v>60</v>
          </cell>
          <cell r="U299">
            <v>32.5</v>
          </cell>
          <cell r="V299">
            <v>12</v>
          </cell>
          <cell r="W299">
            <v>6.16</v>
          </cell>
          <cell r="X299">
            <v>2.5</v>
          </cell>
          <cell r="Y299">
            <v>3</v>
          </cell>
          <cell r="Z299">
            <v>0.9</v>
          </cell>
          <cell r="AA299">
            <v>0.4</v>
          </cell>
          <cell r="AB299">
            <v>1.74</v>
          </cell>
        </row>
        <row r="300">
          <cell r="C300">
            <v>48.82</v>
          </cell>
          <cell r="D300">
            <v>70.31</v>
          </cell>
          <cell r="E300">
            <v>198.23</v>
          </cell>
          <cell r="F300">
            <v>124.21</v>
          </cell>
          <cell r="G300">
            <v>24.01</v>
          </cell>
          <cell r="H300">
            <v>119.92</v>
          </cell>
          <cell r="I300">
            <v>69.08</v>
          </cell>
          <cell r="J300">
            <v>69.08</v>
          </cell>
          <cell r="K300">
            <v>2.6</v>
          </cell>
          <cell r="L300">
            <v>3.6</v>
          </cell>
          <cell r="M300">
            <v>3.6</v>
          </cell>
          <cell r="N300">
            <v>0.6</v>
          </cell>
          <cell r="O300">
            <v>32.68</v>
          </cell>
          <cell r="P300">
            <v>4.68</v>
          </cell>
          <cell r="Q300">
            <v>4.68</v>
          </cell>
          <cell r="R300">
            <v>4.68</v>
          </cell>
          <cell r="S300">
            <v>0</v>
          </cell>
          <cell r="T300">
            <v>60</v>
          </cell>
          <cell r="U300">
            <v>32.5</v>
          </cell>
          <cell r="V300">
            <v>12</v>
          </cell>
          <cell r="W300">
            <v>6.16</v>
          </cell>
          <cell r="X300">
            <v>2.5</v>
          </cell>
          <cell r="Y300">
            <v>3</v>
          </cell>
          <cell r="Z300">
            <v>0.9</v>
          </cell>
          <cell r="AA300">
            <v>0.4</v>
          </cell>
          <cell r="AB300">
            <v>1.74</v>
          </cell>
        </row>
        <row r="301">
          <cell r="C301">
            <v>40.03</v>
          </cell>
          <cell r="D301">
            <v>70.31</v>
          </cell>
          <cell r="E301">
            <v>198.23</v>
          </cell>
          <cell r="F301">
            <v>124.21</v>
          </cell>
          <cell r="G301">
            <v>24.01</v>
          </cell>
          <cell r="H301">
            <v>119.92</v>
          </cell>
          <cell r="I301">
            <v>69.08</v>
          </cell>
          <cell r="J301">
            <v>69.08</v>
          </cell>
          <cell r="K301">
            <v>2.6</v>
          </cell>
          <cell r="L301">
            <v>3.6</v>
          </cell>
          <cell r="M301">
            <v>3.6</v>
          </cell>
          <cell r="N301">
            <v>0.6</v>
          </cell>
          <cell r="O301">
            <v>32.68</v>
          </cell>
          <cell r="P301">
            <v>4.68</v>
          </cell>
          <cell r="Q301">
            <v>4.68</v>
          </cell>
          <cell r="R301">
            <v>4.68</v>
          </cell>
          <cell r="S301">
            <v>0</v>
          </cell>
          <cell r="T301">
            <v>60</v>
          </cell>
          <cell r="U301">
            <v>32.5</v>
          </cell>
          <cell r="V301">
            <v>12</v>
          </cell>
          <cell r="W301">
            <v>6.16</v>
          </cell>
          <cell r="X301">
            <v>2.5</v>
          </cell>
          <cell r="Y301">
            <v>3</v>
          </cell>
          <cell r="Z301">
            <v>0.9</v>
          </cell>
          <cell r="AA301">
            <v>0.4</v>
          </cell>
          <cell r="AB301">
            <v>1.74</v>
          </cell>
        </row>
        <row r="302">
          <cell r="C302">
            <v>33.93</v>
          </cell>
          <cell r="D302">
            <v>70.31</v>
          </cell>
          <cell r="E302">
            <v>198.23</v>
          </cell>
          <cell r="F302">
            <v>124.21</v>
          </cell>
          <cell r="G302">
            <v>24.01</v>
          </cell>
          <cell r="H302">
            <v>119.92</v>
          </cell>
          <cell r="I302">
            <v>69.08</v>
          </cell>
          <cell r="J302">
            <v>69.08</v>
          </cell>
          <cell r="K302">
            <v>2.6</v>
          </cell>
          <cell r="L302">
            <v>3.6</v>
          </cell>
          <cell r="M302">
            <v>3.6</v>
          </cell>
          <cell r="N302">
            <v>0.6</v>
          </cell>
          <cell r="O302">
            <v>32.68</v>
          </cell>
          <cell r="P302">
            <v>4.68</v>
          </cell>
          <cell r="Q302">
            <v>4.68</v>
          </cell>
          <cell r="R302">
            <v>4.68</v>
          </cell>
          <cell r="S302">
            <v>0</v>
          </cell>
          <cell r="T302">
            <v>60</v>
          </cell>
          <cell r="U302">
            <v>32.5</v>
          </cell>
          <cell r="V302">
            <v>12</v>
          </cell>
          <cell r="W302">
            <v>6.16</v>
          </cell>
          <cell r="X302">
            <v>2.5</v>
          </cell>
          <cell r="Y302">
            <v>3</v>
          </cell>
          <cell r="Z302">
            <v>0.9</v>
          </cell>
          <cell r="AA302">
            <v>0.4</v>
          </cell>
          <cell r="AB302">
            <v>1.74</v>
          </cell>
        </row>
        <row r="303">
          <cell r="C303">
            <v>14.52</v>
          </cell>
          <cell r="D303">
            <v>70.31</v>
          </cell>
          <cell r="E303">
            <v>198.23</v>
          </cell>
          <cell r="F303">
            <v>124.21</v>
          </cell>
          <cell r="G303">
            <v>24.01</v>
          </cell>
          <cell r="H303">
            <v>119.92</v>
          </cell>
          <cell r="I303">
            <v>69.08</v>
          </cell>
          <cell r="J303">
            <v>69.08</v>
          </cell>
          <cell r="K303">
            <v>2.6</v>
          </cell>
          <cell r="L303">
            <v>3.6</v>
          </cell>
          <cell r="M303">
            <v>3.6</v>
          </cell>
          <cell r="N303">
            <v>0.6</v>
          </cell>
          <cell r="O303">
            <v>32.68</v>
          </cell>
          <cell r="P303">
            <v>4.68</v>
          </cell>
          <cell r="Q303">
            <v>4.68</v>
          </cell>
          <cell r="R303">
            <v>4.68</v>
          </cell>
          <cell r="S303">
            <v>4.68</v>
          </cell>
          <cell r="T303">
            <v>60</v>
          </cell>
          <cell r="U303">
            <v>42.77</v>
          </cell>
          <cell r="V303">
            <v>12</v>
          </cell>
          <cell r="W303">
            <v>6.16</v>
          </cell>
          <cell r="X303">
            <v>2.5</v>
          </cell>
          <cell r="Y303">
            <v>3</v>
          </cell>
          <cell r="Z303">
            <v>0.9</v>
          </cell>
          <cell r="AA303">
            <v>0.4</v>
          </cell>
          <cell r="AB303">
            <v>1.74</v>
          </cell>
        </row>
        <row r="304">
          <cell r="C304">
            <v>52.03</v>
          </cell>
          <cell r="D304">
            <v>70.31</v>
          </cell>
          <cell r="E304">
            <v>198.23</v>
          </cell>
          <cell r="F304">
            <v>124.21</v>
          </cell>
          <cell r="G304">
            <v>24.01</v>
          </cell>
          <cell r="H304">
            <v>119.92</v>
          </cell>
          <cell r="I304">
            <v>69.08</v>
          </cell>
          <cell r="J304">
            <v>69.08</v>
          </cell>
          <cell r="K304">
            <v>2.6</v>
          </cell>
          <cell r="L304">
            <v>3.6</v>
          </cell>
          <cell r="M304">
            <v>3.6</v>
          </cell>
          <cell r="N304">
            <v>0.6</v>
          </cell>
          <cell r="O304">
            <v>32.68</v>
          </cell>
          <cell r="P304">
            <v>4.68</v>
          </cell>
          <cell r="Q304">
            <v>4.68</v>
          </cell>
          <cell r="R304">
            <v>4.68</v>
          </cell>
          <cell r="S304">
            <v>4.68</v>
          </cell>
          <cell r="T304">
            <v>60</v>
          </cell>
          <cell r="U304">
            <v>79.27</v>
          </cell>
          <cell r="V304">
            <v>12</v>
          </cell>
          <cell r="W304">
            <v>6.16</v>
          </cell>
          <cell r="X304">
            <v>2.5</v>
          </cell>
          <cell r="Y304">
            <v>3</v>
          </cell>
          <cell r="Z304">
            <v>1.27</v>
          </cell>
          <cell r="AA304">
            <v>0.4</v>
          </cell>
          <cell r="AB304">
            <v>1.74</v>
          </cell>
        </row>
        <row r="305">
          <cell r="C305">
            <v>489.45</v>
          </cell>
          <cell r="D305">
            <v>70.31</v>
          </cell>
          <cell r="E305">
            <v>198.23</v>
          </cell>
          <cell r="F305">
            <v>124.21</v>
          </cell>
          <cell r="G305">
            <v>24.01</v>
          </cell>
          <cell r="H305">
            <v>119.92</v>
          </cell>
          <cell r="I305">
            <v>69.08</v>
          </cell>
          <cell r="J305">
            <v>69.08</v>
          </cell>
          <cell r="K305">
            <v>2.6</v>
          </cell>
          <cell r="L305">
            <v>3.6</v>
          </cell>
          <cell r="M305">
            <v>3.6</v>
          </cell>
          <cell r="N305">
            <v>0.6</v>
          </cell>
          <cell r="O305">
            <v>32.68</v>
          </cell>
          <cell r="P305">
            <v>4.68</v>
          </cell>
          <cell r="Q305">
            <v>4.68</v>
          </cell>
          <cell r="R305">
            <v>4.68</v>
          </cell>
          <cell r="S305">
            <v>4.68</v>
          </cell>
          <cell r="T305">
            <v>154.4</v>
          </cell>
          <cell r="U305">
            <v>79.27</v>
          </cell>
          <cell r="V305">
            <v>37.04</v>
          </cell>
          <cell r="W305">
            <v>6.16</v>
          </cell>
          <cell r="X305">
            <v>4.82</v>
          </cell>
          <cell r="Y305">
            <v>10.029999999999999</v>
          </cell>
          <cell r="Z305">
            <v>1.44</v>
          </cell>
          <cell r="AA305">
            <v>0.77</v>
          </cell>
          <cell r="AB305">
            <v>1.74</v>
          </cell>
        </row>
        <row r="306">
          <cell r="C306">
            <v>501.55</v>
          </cell>
          <cell r="D306">
            <v>70.31</v>
          </cell>
          <cell r="E306">
            <v>198.23</v>
          </cell>
          <cell r="F306">
            <v>124.21</v>
          </cell>
          <cell r="G306">
            <v>24.01</v>
          </cell>
          <cell r="H306">
            <v>119.92</v>
          </cell>
          <cell r="I306">
            <v>69.08</v>
          </cell>
          <cell r="J306">
            <v>69.08</v>
          </cell>
          <cell r="K306">
            <v>2.6</v>
          </cell>
          <cell r="L306">
            <v>3.6</v>
          </cell>
          <cell r="M306">
            <v>3.6</v>
          </cell>
          <cell r="N306">
            <v>0.6</v>
          </cell>
          <cell r="O306">
            <v>32.68</v>
          </cell>
          <cell r="P306">
            <v>4.68</v>
          </cell>
          <cell r="Q306">
            <v>4.68</v>
          </cell>
          <cell r="R306">
            <v>4.68</v>
          </cell>
          <cell r="S306">
            <v>4.68</v>
          </cell>
          <cell r="T306">
            <v>154.4</v>
          </cell>
          <cell r="U306">
            <v>79.27</v>
          </cell>
          <cell r="V306">
            <v>37.04</v>
          </cell>
          <cell r="W306">
            <v>6.16</v>
          </cell>
          <cell r="X306">
            <v>4.82</v>
          </cell>
          <cell r="Y306">
            <v>10.029999999999999</v>
          </cell>
          <cell r="Z306">
            <v>1.44</v>
          </cell>
          <cell r="AA306">
            <v>0.77</v>
          </cell>
          <cell r="AB306">
            <v>1.74</v>
          </cell>
        </row>
        <row r="307">
          <cell r="C307">
            <v>456.13</v>
          </cell>
          <cell r="D307">
            <v>70.31</v>
          </cell>
          <cell r="E307">
            <v>198.23</v>
          </cell>
          <cell r="F307">
            <v>124.21</v>
          </cell>
          <cell r="G307">
            <v>24.01</v>
          </cell>
          <cell r="H307">
            <v>119.92</v>
          </cell>
          <cell r="I307">
            <v>69.08</v>
          </cell>
          <cell r="J307">
            <v>69.08</v>
          </cell>
          <cell r="K307">
            <v>2.6</v>
          </cell>
          <cell r="L307">
            <v>3.6</v>
          </cell>
          <cell r="M307">
            <v>3.6</v>
          </cell>
          <cell r="N307">
            <v>0.6</v>
          </cell>
          <cell r="O307">
            <v>32.68</v>
          </cell>
          <cell r="P307">
            <v>4.68</v>
          </cell>
          <cell r="Q307">
            <v>4.68</v>
          </cell>
          <cell r="R307">
            <v>4.68</v>
          </cell>
          <cell r="S307">
            <v>4.68</v>
          </cell>
          <cell r="T307">
            <v>127.76</v>
          </cell>
          <cell r="U307">
            <v>79.27</v>
          </cell>
          <cell r="V307">
            <v>37.04</v>
          </cell>
          <cell r="W307">
            <v>6.16</v>
          </cell>
          <cell r="X307">
            <v>3.38</v>
          </cell>
          <cell r="Y307">
            <v>6.59</v>
          </cell>
          <cell r="Z307">
            <v>1.44</v>
          </cell>
          <cell r="AA307">
            <v>0.41</v>
          </cell>
          <cell r="AB307">
            <v>1.74</v>
          </cell>
        </row>
        <row r="308">
          <cell r="C308">
            <v>382.95</v>
          </cell>
          <cell r="D308">
            <v>70.31</v>
          </cell>
          <cell r="E308">
            <v>198.23</v>
          </cell>
          <cell r="F308">
            <v>124.21</v>
          </cell>
          <cell r="G308">
            <v>24.01</v>
          </cell>
          <cell r="H308">
            <v>119.92</v>
          </cell>
          <cell r="I308">
            <v>69.08</v>
          </cell>
          <cell r="J308">
            <v>69.08</v>
          </cell>
          <cell r="K308">
            <v>2.6</v>
          </cell>
          <cell r="L308">
            <v>3.6</v>
          </cell>
          <cell r="M308">
            <v>3.6</v>
          </cell>
          <cell r="N308">
            <v>0.6</v>
          </cell>
          <cell r="O308">
            <v>32.68</v>
          </cell>
          <cell r="P308">
            <v>4.68</v>
          </cell>
          <cell r="Q308">
            <v>4.68</v>
          </cell>
          <cell r="R308">
            <v>4.68</v>
          </cell>
          <cell r="S308">
            <v>4.68</v>
          </cell>
          <cell r="T308">
            <v>60</v>
          </cell>
          <cell r="U308">
            <v>79.27</v>
          </cell>
          <cell r="V308">
            <v>28.18</v>
          </cell>
          <cell r="W308">
            <v>6.16</v>
          </cell>
          <cell r="X308">
            <v>2.5</v>
          </cell>
          <cell r="Y308">
            <v>3</v>
          </cell>
          <cell r="Z308">
            <v>1.44</v>
          </cell>
          <cell r="AA308">
            <v>0.4</v>
          </cell>
          <cell r="AB308">
            <v>1.74</v>
          </cell>
        </row>
        <row r="309">
          <cell r="C309">
            <v>565.52</v>
          </cell>
          <cell r="D309">
            <v>0</v>
          </cell>
          <cell r="E309">
            <v>0</v>
          </cell>
          <cell r="F309">
            <v>124.21</v>
          </cell>
          <cell r="G309">
            <v>0</v>
          </cell>
          <cell r="H309">
            <v>119.92</v>
          </cell>
          <cell r="I309">
            <v>69.08</v>
          </cell>
          <cell r="J309">
            <v>69.08</v>
          </cell>
          <cell r="K309">
            <v>2.6</v>
          </cell>
          <cell r="L309">
            <v>3.6</v>
          </cell>
          <cell r="M309">
            <v>3.6</v>
          </cell>
          <cell r="N309">
            <v>0.6</v>
          </cell>
          <cell r="O309">
            <v>32.68</v>
          </cell>
          <cell r="P309">
            <v>4.68</v>
          </cell>
          <cell r="Q309">
            <v>4.68</v>
          </cell>
          <cell r="R309">
            <v>4.68</v>
          </cell>
          <cell r="S309">
            <v>0</v>
          </cell>
          <cell r="T309">
            <v>60</v>
          </cell>
          <cell r="U309">
            <v>32.5</v>
          </cell>
          <cell r="V309">
            <v>12</v>
          </cell>
          <cell r="W309">
            <v>6.16</v>
          </cell>
          <cell r="X309">
            <v>2.5</v>
          </cell>
          <cell r="Y309">
            <v>3</v>
          </cell>
          <cell r="Z309">
            <v>0.9</v>
          </cell>
          <cell r="AA309">
            <v>0.4</v>
          </cell>
          <cell r="AB309">
            <v>0.9</v>
          </cell>
        </row>
        <row r="310">
          <cell r="C310">
            <v>416.52</v>
          </cell>
          <cell r="D310">
            <v>0</v>
          </cell>
          <cell r="E310">
            <v>0</v>
          </cell>
          <cell r="F310">
            <v>124.21</v>
          </cell>
          <cell r="G310">
            <v>0</v>
          </cell>
          <cell r="H310">
            <v>119.92</v>
          </cell>
          <cell r="I310">
            <v>69.08</v>
          </cell>
          <cell r="J310">
            <v>69.08</v>
          </cell>
          <cell r="K310">
            <v>2.6</v>
          </cell>
          <cell r="L310">
            <v>3.6</v>
          </cell>
          <cell r="M310">
            <v>3.6</v>
          </cell>
          <cell r="N310">
            <v>0.6</v>
          </cell>
          <cell r="O310">
            <v>32.68</v>
          </cell>
          <cell r="P310">
            <v>4.68</v>
          </cell>
          <cell r="Q310">
            <v>4.68</v>
          </cell>
          <cell r="R310">
            <v>4.68</v>
          </cell>
          <cell r="S310">
            <v>0</v>
          </cell>
          <cell r="T310">
            <v>60</v>
          </cell>
          <cell r="U310">
            <v>32.5</v>
          </cell>
          <cell r="V310">
            <v>12</v>
          </cell>
          <cell r="W310">
            <v>4</v>
          </cell>
          <cell r="X310">
            <v>2.5</v>
          </cell>
          <cell r="Y310">
            <v>3</v>
          </cell>
          <cell r="Z310">
            <v>0.9</v>
          </cell>
          <cell r="AA310">
            <v>0.4</v>
          </cell>
          <cell r="AB310">
            <v>0.9</v>
          </cell>
        </row>
        <row r="312">
          <cell r="C312">
            <v>6317.87</v>
          </cell>
          <cell r="D312">
            <v>826.4</v>
          </cell>
          <cell r="E312">
            <v>2372.63</v>
          </cell>
          <cell r="F312">
            <v>2981.12</v>
          </cell>
          <cell r="G312">
            <v>312.10000000000002</v>
          </cell>
          <cell r="H312">
            <v>2878.19</v>
          </cell>
          <cell r="I312">
            <v>1657.88</v>
          </cell>
          <cell r="J312">
            <v>1657.88</v>
          </cell>
          <cell r="K312">
            <v>62.39</v>
          </cell>
          <cell r="L312">
            <v>86.39</v>
          </cell>
          <cell r="M312">
            <v>86.39</v>
          </cell>
          <cell r="N312">
            <v>14.39</v>
          </cell>
          <cell r="O312">
            <v>784.37</v>
          </cell>
          <cell r="P312">
            <v>112.37</v>
          </cell>
          <cell r="Q312">
            <v>110.4</v>
          </cell>
          <cell r="R312">
            <v>112.37</v>
          </cell>
          <cell r="S312">
            <v>28.09</v>
          </cell>
          <cell r="T312">
            <v>1696.55</v>
          </cell>
          <cell r="U312">
            <v>1024.1400000000001</v>
          </cell>
          <cell r="V312">
            <v>379.31</v>
          </cell>
          <cell r="W312">
            <v>127.59</v>
          </cell>
          <cell r="X312">
            <v>65.52</v>
          </cell>
          <cell r="Y312">
            <v>89.66</v>
          </cell>
          <cell r="Z312">
            <v>24.14</v>
          </cell>
          <cell r="AA312">
            <v>10.34</v>
          </cell>
          <cell r="AB312">
            <v>31.03</v>
          </cell>
        </row>
        <row r="314">
          <cell r="C314">
            <v>2E-3</v>
          </cell>
          <cell r="D314">
            <v>2E-3</v>
          </cell>
          <cell r="E314">
            <v>2E-3</v>
          </cell>
          <cell r="F314">
            <v>2.5700000000000001E-2</v>
          </cell>
          <cell r="G314">
            <v>3.32E-2</v>
          </cell>
          <cell r="H314">
            <v>2.75E-2</v>
          </cell>
          <cell r="I314">
            <v>2.7799999999999998E-2</v>
          </cell>
          <cell r="J314">
            <v>2.81E-2</v>
          </cell>
          <cell r="K314">
            <v>3.2000000000000001E-2</v>
          </cell>
          <cell r="L314">
            <v>3.2199999999999999E-2</v>
          </cell>
          <cell r="M314">
            <v>3.2199999999999999E-2</v>
          </cell>
          <cell r="N314">
            <v>3.2199999999999999E-2</v>
          </cell>
          <cell r="O314">
            <v>3.4299999999999997E-2</v>
          </cell>
          <cell r="P314">
            <v>3.7100000000000001E-2</v>
          </cell>
          <cell r="Q314">
            <v>3.7100000000000001E-2</v>
          </cell>
          <cell r="R314">
            <v>3.7100000000000001E-2</v>
          </cell>
          <cell r="S314">
            <v>3.7100000000000001E-2</v>
          </cell>
          <cell r="T314">
            <v>2E-3</v>
          </cell>
          <cell r="U314">
            <v>2E-3</v>
          </cell>
          <cell r="V314">
            <v>2E-3</v>
          </cell>
          <cell r="W314">
            <v>2E-3</v>
          </cell>
          <cell r="X314">
            <v>2E-3</v>
          </cell>
          <cell r="Y314">
            <v>2E-3</v>
          </cell>
          <cell r="Z314">
            <v>2E-3</v>
          </cell>
          <cell r="AA314">
            <v>2E-3</v>
          </cell>
          <cell r="AB314">
            <v>2E-3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ntificación"/>
      <sheetName val="Proyecto Inversión"/>
      <sheetName val="Características Físicas"/>
      <sheetName val="Indicadores"/>
      <sheetName val="Cronogramas"/>
      <sheetName val="Financiamiento"/>
      <sheetName val="Usuarios"/>
      <sheetName val="Materiales"/>
      <sheetName val="Bienes y Servicios"/>
      <sheetName val="Listado Materiales"/>
      <sheetName val="Formulas"/>
      <sheetName val="Mesajes de Error"/>
      <sheetName val="Catálogos"/>
      <sheetName val="CODPARROQUIA"/>
    </sheetNames>
    <sheetDataSet>
      <sheetData sheetId="0"/>
      <sheetData sheetId="1"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>2014-134-0301</v>
          </cell>
        </row>
        <row r="316">
          <cell r="B316" t="str">
            <v>2014-134-0302</v>
          </cell>
        </row>
        <row r="317">
          <cell r="B317" t="str">
            <v>2014-134-0303</v>
          </cell>
        </row>
        <row r="318">
          <cell r="B318" t="str">
            <v>2014-134-0304</v>
          </cell>
        </row>
        <row r="319">
          <cell r="B319" t="str">
            <v>2014-134-0305</v>
          </cell>
        </row>
        <row r="320">
          <cell r="B320" t="str">
            <v>2014-134-0306</v>
          </cell>
        </row>
        <row r="321">
          <cell r="B321" t="str">
            <v>2014-134-0307</v>
          </cell>
        </row>
        <row r="322">
          <cell r="B322" t="str">
            <v>2014-134-0308</v>
          </cell>
        </row>
        <row r="323">
          <cell r="B323" t="str">
            <v>2014-134-0309</v>
          </cell>
        </row>
        <row r="324">
          <cell r="B324" t="str">
            <v>2014-134-0310</v>
          </cell>
        </row>
        <row r="325">
          <cell r="B325" t="str">
            <v>2014-134-0311</v>
          </cell>
        </row>
        <row r="326">
          <cell r="B326" t="str">
            <v>2014-134-0312</v>
          </cell>
        </row>
        <row r="327">
          <cell r="B327" t="str">
            <v>2014-134-0313</v>
          </cell>
        </row>
        <row r="328">
          <cell r="B328" t="str">
            <v>2014-134-0314</v>
          </cell>
        </row>
        <row r="329">
          <cell r="B329" t="str">
            <v>2014-134-0315</v>
          </cell>
        </row>
        <row r="330">
          <cell r="B330" t="str">
            <v>2014-134-0316</v>
          </cell>
        </row>
        <row r="331">
          <cell r="B331" t="str">
            <v>2014-134-0317</v>
          </cell>
        </row>
        <row r="332">
          <cell r="B332" t="str">
            <v>2014-134-0318</v>
          </cell>
        </row>
        <row r="333">
          <cell r="B333" t="str">
            <v>2014-134-0319</v>
          </cell>
        </row>
        <row r="334">
          <cell r="B334" t="str">
            <v>2014-134-0320</v>
          </cell>
        </row>
        <row r="335">
          <cell r="B335" t="str">
            <v>2014-134-0321</v>
          </cell>
        </row>
        <row r="336">
          <cell r="B336" t="str">
            <v>2014-134-0322</v>
          </cell>
        </row>
        <row r="337">
          <cell r="B337" t="str">
            <v>2014-134-0323</v>
          </cell>
        </row>
        <row r="338">
          <cell r="B338" t="str">
            <v>2014-134-0324</v>
          </cell>
        </row>
        <row r="339">
          <cell r="B339" t="str">
            <v>2014-134-0325</v>
          </cell>
        </row>
        <row r="340">
          <cell r="B340" t="str">
            <v>2014-134-0326</v>
          </cell>
        </row>
        <row r="341">
          <cell r="B341" t="str">
            <v>2014-134-0327</v>
          </cell>
        </row>
        <row r="342">
          <cell r="B342" t="str">
            <v>2014-134-0328</v>
          </cell>
        </row>
        <row r="343">
          <cell r="B343" t="str">
            <v>2014-134-0329</v>
          </cell>
        </row>
        <row r="344">
          <cell r="B344" t="str">
            <v>2014-134-0330</v>
          </cell>
        </row>
        <row r="345">
          <cell r="B345" t="str">
            <v>2014-134-0331</v>
          </cell>
        </row>
        <row r="346">
          <cell r="B346" t="str">
            <v>2014-134-0332</v>
          </cell>
        </row>
        <row r="347">
          <cell r="B347" t="str">
            <v>2014-134-0333</v>
          </cell>
        </row>
        <row r="348">
          <cell r="B348" t="str">
            <v>2014-134-0334</v>
          </cell>
        </row>
        <row r="349">
          <cell r="B349" t="str">
            <v>2014-134-0335</v>
          </cell>
        </row>
        <row r="350">
          <cell r="B350" t="str">
            <v>2014-134-0336</v>
          </cell>
        </row>
        <row r="351">
          <cell r="B351" t="str">
            <v>2014-134-0337</v>
          </cell>
        </row>
        <row r="352">
          <cell r="B352" t="str">
            <v>2014-134-0338</v>
          </cell>
        </row>
        <row r="353">
          <cell r="B353" t="str">
            <v>2014-134-0339</v>
          </cell>
        </row>
        <row r="354">
          <cell r="B354" t="str">
            <v>2014-134-0340</v>
          </cell>
        </row>
        <row r="355">
          <cell r="B355" t="str">
            <v>2014-134-0341</v>
          </cell>
        </row>
        <row r="356">
          <cell r="B356" t="str">
            <v>2014-134-0342</v>
          </cell>
        </row>
        <row r="357">
          <cell r="B357" t="str">
            <v>2014-134-0343</v>
          </cell>
        </row>
        <row r="358">
          <cell r="B358" t="str">
            <v>2014-134-0344</v>
          </cell>
        </row>
        <row r="359">
          <cell r="B359" t="str">
            <v>2014-134-0345</v>
          </cell>
        </row>
        <row r="360">
          <cell r="B360" t="str">
            <v>2014-134-0346</v>
          </cell>
        </row>
        <row r="361">
          <cell r="B361" t="str">
            <v>2014-134-0347</v>
          </cell>
        </row>
        <row r="362">
          <cell r="B362" t="str">
            <v>2014-134-0348</v>
          </cell>
        </row>
        <row r="363">
          <cell r="B363" t="str">
            <v>2014-134-0349</v>
          </cell>
        </row>
        <row r="364">
          <cell r="B364" t="str">
            <v>2014-134-0350</v>
          </cell>
        </row>
        <row r="365">
          <cell r="B365" t="str">
            <v>2014-134-0351</v>
          </cell>
        </row>
        <row r="366">
          <cell r="B366" t="str">
            <v>2014-134-0352</v>
          </cell>
        </row>
        <row r="367">
          <cell r="B367" t="str">
            <v>2014-134-0353</v>
          </cell>
        </row>
        <row r="368">
          <cell r="B368" t="str">
            <v>2014-134-0354</v>
          </cell>
        </row>
        <row r="369">
          <cell r="B369" t="str">
            <v>2014-134-0355</v>
          </cell>
        </row>
        <row r="370">
          <cell r="B370" t="str">
            <v>2014-134-0356</v>
          </cell>
        </row>
        <row r="371">
          <cell r="B371" t="str">
            <v>2014-134-0357</v>
          </cell>
        </row>
        <row r="372">
          <cell r="B372" t="str">
            <v>2014-134-0358</v>
          </cell>
        </row>
        <row r="373">
          <cell r="B373" t="str">
            <v>2014-134-0359</v>
          </cell>
        </row>
        <row r="374">
          <cell r="B374" t="str">
            <v>2014-134-0360</v>
          </cell>
        </row>
        <row r="375">
          <cell r="B375" t="str">
            <v>2014-134-0361</v>
          </cell>
        </row>
        <row r="376">
          <cell r="B376" t="str">
            <v>2014-134-0362</v>
          </cell>
        </row>
        <row r="377">
          <cell r="B377" t="str">
            <v>2014-134-0363</v>
          </cell>
        </row>
        <row r="378">
          <cell r="B378" t="str">
            <v>2014-134-0364</v>
          </cell>
        </row>
        <row r="379">
          <cell r="B379" t="str">
            <v>2014-134-0365</v>
          </cell>
        </row>
        <row r="380">
          <cell r="B380" t="str">
            <v>2014-134-0366</v>
          </cell>
        </row>
        <row r="381">
          <cell r="B381" t="str">
            <v>2014-134-0367</v>
          </cell>
        </row>
        <row r="382">
          <cell r="B382" t="str">
            <v>2014-134-0368</v>
          </cell>
        </row>
        <row r="383">
          <cell r="B383" t="str">
            <v>2014-134-0369</v>
          </cell>
        </row>
        <row r="384">
          <cell r="B384" t="str">
            <v>2014-134-0370</v>
          </cell>
        </row>
        <row r="385">
          <cell r="B385" t="str">
            <v>2014-134-0371</v>
          </cell>
        </row>
        <row r="386">
          <cell r="B386" t="str">
            <v>2014-134-0372</v>
          </cell>
        </row>
        <row r="387">
          <cell r="B387" t="str">
            <v>2014-134-0373</v>
          </cell>
        </row>
        <row r="388">
          <cell r="B388" t="str">
            <v>2014-134-0374</v>
          </cell>
        </row>
        <row r="389">
          <cell r="B389" t="str">
            <v>2014-134-0375</v>
          </cell>
        </row>
        <row r="390">
          <cell r="B390" t="str">
            <v>2014-134-0376</v>
          </cell>
        </row>
        <row r="391">
          <cell r="B391" t="str">
            <v>2014-134-0377</v>
          </cell>
        </row>
        <row r="392">
          <cell r="B392" t="str">
            <v>2014-134-0378</v>
          </cell>
        </row>
        <row r="393">
          <cell r="B393" t="str">
            <v>2014-134-0379</v>
          </cell>
        </row>
        <row r="394">
          <cell r="B394" t="str">
            <v>2014-134-0380</v>
          </cell>
        </row>
        <row r="395">
          <cell r="B395" t="str">
            <v>2014-134-0381</v>
          </cell>
        </row>
        <row r="396">
          <cell r="B396" t="str">
            <v>2014-134-0382</v>
          </cell>
        </row>
        <row r="397">
          <cell r="B397" t="str">
            <v>2014-134-0383</v>
          </cell>
        </row>
        <row r="398">
          <cell r="B398" t="str">
            <v>2014-134-0384</v>
          </cell>
        </row>
        <row r="399">
          <cell r="B399" t="str">
            <v>2014-134-0385</v>
          </cell>
        </row>
        <row r="400">
          <cell r="B400" t="str">
            <v>2014-134-0386</v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  <row r="1000">
          <cell r="B1000" t="str">
            <v/>
          </cell>
        </row>
        <row r="1001">
          <cell r="B1001" t="str">
            <v/>
          </cell>
        </row>
        <row r="1002">
          <cell r="B1002" t="str">
            <v/>
          </cell>
        </row>
        <row r="1003">
          <cell r="B1003" t="str">
            <v/>
          </cell>
        </row>
        <row r="1004">
          <cell r="B1004" t="str">
            <v/>
          </cell>
        </row>
        <row r="1005">
          <cell r="B1005" t="str">
            <v/>
          </cell>
        </row>
        <row r="1006">
          <cell r="B1006" t="str">
            <v/>
          </cell>
        </row>
        <row r="1007">
          <cell r="B1007" t="str">
            <v/>
          </cell>
        </row>
        <row r="1008">
          <cell r="B1008" t="str">
            <v/>
          </cell>
        </row>
        <row r="1009">
          <cell r="B1009" t="str">
            <v/>
          </cell>
        </row>
        <row r="1010">
          <cell r="B1010" t="str">
            <v/>
          </cell>
        </row>
        <row r="1011">
          <cell r="B1011" t="str">
            <v/>
          </cell>
        </row>
        <row r="1012">
          <cell r="B1012" t="str">
            <v/>
          </cell>
        </row>
        <row r="1013">
          <cell r="B1013" t="str">
            <v/>
          </cell>
        </row>
        <row r="1014">
          <cell r="B1014" t="str">
            <v/>
          </cell>
        </row>
        <row r="1015">
          <cell r="B1015" t="str">
            <v/>
          </cell>
        </row>
        <row r="1016">
          <cell r="B1016" t="str">
            <v/>
          </cell>
        </row>
        <row r="1017">
          <cell r="B1017" t="str">
            <v/>
          </cell>
        </row>
        <row r="1018">
          <cell r="B1018" t="str">
            <v/>
          </cell>
        </row>
        <row r="1019">
          <cell r="B1019" t="str">
            <v/>
          </cell>
        </row>
        <row r="1020">
          <cell r="B1020" t="str">
            <v/>
          </cell>
        </row>
        <row r="1021">
          <cell r="B1021" t="str">
            <v/>
          </cell>
        </row>
        <row r="1022">
          <cell r="B1022" t="str">
            <v/>
          </cell>
        </row>
        <row r="1023">
          <cell r="B1023" t="str">
            <v/>
          </cell>
        </row>
        <row r="1024">
          <cell r="B1024" t="str">
            <v/>
          </cell>
        </row>
        <row r="1025">
          <cell r="B1025" t="str">
            <v/>
          </cell>
        </row>
        <row r="1026">
          <cell r="B1026" t="str">
            <v/>
          </cell>
        </row>
        <row r="1027">
          <cell r="B1027" t="str">
            <v/>
          </cell>
        </row>
        <row r="1028">
          <cell r="B1028" t="str">
            <v/>
          </cell>
        </row>
        <row r="1029">
          <cell r="B1029" t="str">
            <v/>
          </cell>
        </row>
        <row r="1030">
          <cell r="B1030" t="str">
            <v/>
          </cell>
        </row>
        <row r="1031">
          <cell r="B1031" t="str">
            <v/>
          </cell>
        </row>
        <row r="1032">
          <cell r="B1032" t="str">
            <v/>
          </cell>
        </row>
        <row r="1033">
          <cell r="B1033" t="str">
            <v/>
          </cell>
        </row>
        <row r="1034">
          <cell r="B1034" t="str">
            <v/>
          </cell>
        </row>
        <row r="1035">
          <cell r="B1035" t="str">
            <v/>
          </cell>
        </row>
        <row r="1036">
          <cell r="B1036" t="str">
            <v/>
          </cell>
        </row>
        <row r="1037">
          <cell r="B1037" t="str">
            <v/>
          </cell>
        </row>
        <row r="1038">
          <cell r="B1038" t="str">
            <v/>
          </cell>
        </row>
        <row r="1039">
          <cell r="B1039" t="str">
            <v/>
          </cell>
        </row>
        <row r="1040">
          <cell r="B1040" t="str">
            <v/>
          </cell>
        </row>
        <row r="1041">
          <cell r="B1041" t="str">
            <v/>
          </cell>
        </row>
        <row r="1042">
          <cell r="B1042" t="str">
            <v/>
          </cell>
        </row>
        <row r="1043">
          <cell r="B1043" t="str">
            <v/>
          </cell>
        </row>
        <row r="1044">
          <cell r="B1044" t="str">
            <v/>
          </cell>
        </row>
        <row r="1045">
          <cell r="B1045" t="str">
            <v/>
          </cell>
        </row>
        <row r="1046">
          <cell r="B1046" t="str">
            <v/>
          </cell>
        </row>
        <row r="1047">
          <cell r="B1047" t="str">
            <v/>
          </cell>
        </row>
        <row r="1048">
          <cell r="B1048" t="str">
            <v/>
          </cell>
        </row>
        <row r="1049">
          <cell r="B1049" t="str">
            <v/>
          </cell>
        </row>
        <row r="1050">
          <cell r="B1050" t="str">
            <v/>
          </cell>
        </row>
        <row r="1051">
          <cell r="B1051" t="str">
            <v/>
          </cell>
        </row>
        <row r="1052">
          <cell r="B1052" t="str">
            <v/>
          </cell>
        </row>
        <row r="1053">
          <cell r="B1053" t="str">
            <v/>
          </cell>
        </row>
        <row r="1054">
          <cell r="B1054" t="str">
            <v/>
          </cell>
        </row>
        <row r="1055">
          <cell r="B1055" t="str">
            <v/>
          </cell>
        </row>
        <row r="1056">
          <cell r="B1056" t="str">
            <v/>
          </cell>
        </row>
        <row r="1057">
          <cell r="B1057" t="str">
            <v/>
          </cell>
        </row>
        <row r="1058">
          <cell r="B1058" t="str">
            <v/>
          </cell>
        </row>
        <row r="1059">
          <cell r="B1059" t="str">
            <v/>
          </cell>
        </row>
        <row r="1060">
          <cell r="B1060" t="str">
            <v/>
          </cell>
        </row>
        <row r="1061">
          <cell r="B1061" t="str">
            <v/>
          </cell>
        </row>
        <row r="1062">
          <cell r="B1062" t="str">
            <v/>
          </cell>
        </row>
        <row r="1063">
          <cell r="B1063" t="str">
            <v/>
          </cell>
        </row>
        <row r="1064">
          <cell r="B1064" t="str">
            <v/>
          </cell>
        </row>
        <row r="1065">
          <cell r="B1065" t="str">
            <v/>
          </cell>
        </row>
        <row r="1066">
          <cell r="B1066" t="str">
            <v/>
          </cell>
        </row>
        <row r="1067">
          <cell r="B1067" t="str">
            <v/>
          </cell>
        </row>
        <row r="1068">
          <cell r="B1068" t="str">
            <v/>
          </cell>
        </row>
        <row r="1069">
          <cell r="B1069" t="str">
            <v/>
          </cell>
        </row>
        <row r="1070">
          <cell r="B1070" t="str">
            <v/>
          </cell>
        </row>
        <row r="1071">
          <cell r="B1071" t="str">
            <v/>
          </cell>
        </row>
        <row r="1072">
          <cell r="B1072" t="str">
            <v/>
          </cell>
        </row>
        <row r="1073">
          <cell r="B1073" t="str">
            <v/>
          </cell>
        </row>
        <row r="1074">
          <cell r="B1074" t="str">
            <v/>
          </cell>
        </row>
        <row r="1075">
          <cell r="B1075" t="str">
            <v/>
          </cell>
        </row>
        <row r="1076">
          <cell r="B1076" t="str">
            <v/>
          </cell>
        </row>
        <row r="1077">
          <cell r="B1077" t="str">
            <v/>
          </cell>
        </row>
        <row r="1078">
          <cell r="B1078" t="str">
            <v/>
          </cell>
        </row>
        <row r="1079">
          <cell r="B1079" t="str">
            <v/>
          </cell>
        </row>
        <row r="1080">
          <cell r="B1080" t="str">
            <v/>
          </cell>
        </row>
        <row r="1081">
          <cell r="B1081" t="str">
            <v/>
          </cell>
        </row>
        <row r="1082">
          <cell r="B1082" t="str">
            <v/>
          </cell>
        </row>
        <row r="1083">
          <cell r="B1083" t="str">
            <v/>
          </cell>
        </row>
        <row r="1084">
          <cell r="B1084" t="str">
            <v/>
          </cell>
        </row>
        <row r="1085">
          <cell r="B1085" t="str">
            <v/>
          </cell>
        </row>
        <row r="1086">
          <cell r="B1086" t="str">
            <v/>
          </cell>
        </row>
        <row r="1087">
          <cell r="B1087" t="str">
            <v/>
          </cell>
        </row>
        <row r="1088">
          <cell r="B1088" t="str">
            <v/>
          </cell>
        </row>
        <row r="1089">
          <cell r="B1089" t="str">
            <v/>
          </cell>
        </row>
        <row r="1090">
          <cell r="B1090" t="str">
            <v/>
          </cell>
        </row>
        <row r="1091">
          <cell r="B1091" t="str">
            <v/>
          </cell>
        </row>
        <row r="1092">
          <cell r="B1092" t="str">
            <v/>
          </cell>
        </row>
        <row r="1093">
          <cell r="B1093" t="str">
            <v/>
          </cell>
        </row>
        <row r="1094">
          <cell r="B1094" t="str">
            <v/>
          </cell>
        </row>
        <row r="1095">
          <cell r="B1095" t="str">
            <v/>
          </cell>
        </row>
        <row r="1096">
          <cell r="B1096" t="str">
            <v/>
          </cell>
        </row>
        <row r="1097">
          <cell r="B1097" t="str">
            <v/>
          </cell>
        </row>
        <row r="1098">
          <cell r="B1098" t="str">
            <v/>
          </cell>
        </row>
        <row r="1099">
          <cell r="B1099" t="str">
            <v/>
          </cell>
        </row>
        <row r="1100">
          <cell r="B1100" t="str">
            <v/>
          </cell>
        </row>
        <row r="1101">
          <cell r="B1101" t="str">
            <v/>
          </cell>
        </row>
        <row r="1102">
          <cell r="B1102" t="str">
            <v/>
          </cell>
        </row>
        <row r="1103">
          <cell r="B1103" t="str">
            <v/>
          </cell>
        </row>
        <row r="1104">
          <cell r="B1104" t="str">
            <v/>
          </cell>
        </row>
        <row r="1105">
          <cell r="B1105" t="str">
            <v/>
          </cell>
        </row>
        <row r="1106">
          <cell r="B1106" t="str">
            <v/>
          </cell>
        </row>
        <row r="1107">
          <cell r="B1107" t="str">
            <v/>
          </cell>
        </row>
        <row r="1108">
          <cell r="B1108" t="str">
            <v/>
          </cell>
        </row>
        <row r="1109">
          <cell r="B1109" t="str">
            <v/>
          </cell>
        </row>
        <row r="1110">
          <cell r="B1110" t="str">
            <v/>
          </cell>
        </row>
        <row r="1111">
          <cell r="B1111" t="str">
            <v/>
          </cell>
        </row>
        <row r="1112">
          <cell r="B1112" t="str">
            <v/>
          </cell>
        </row>
        <row r="1113">
          <cell r="B1113" t="str">
            <v/>
          </cell>
        </row>
        <row r="1114">
          <cell r="B1114" t="str">
            <v/>
          </cell>
        </row>
        <row r="1115">
          <cell r="B1115" t="str">
            <v/>
          </cell>
        </row>
        <row r="1116">
          <cell r="B1116" t="str">
            <v/>
          </cell>
        </row>
        <row r="1117">
          <cell r="B1117" t="str">
            <v/>
          </cell>
        </row>
        <row r="1118">
          <cell r="B1118" t="str">
            <v/>
          </cell>
        </row>
        <row r="1119">
          <cell r="B1119" t="str">
            <v/>
          </cell>
        </row>
        <row r="1120">
          <cell r="B1120" t="str">
            <v/>
          </cell>
        </row>
        <row r="1121">
          <cell r="B1121" t="str">
            <v/>
          </cell>
        </row>
        <row r="1122">
          <cell r="B1122" t="str">
            <v/>
          </cell>
        </row>
        <row r="1123">
          <cell r="B1123" t="str">
            <v/>
          </cell>
        </row>
        <row r="1124">
          <cell r="B1124" t="str">
            <v/>
          </cell>
        </row>
        <row r="1125">
          <cell r="B1125" t="str">
            <v/>
          </cell>
        </row>
        <row r="1126">
          <cell r="B1126" t="str">
            <v/>
          </cell>
        </row>
        <row r="1127">
          <cell r="B1127" t="str">
            <v/>
          </cell>
        </row>
        <row r="1128">
          <cell r="B1128" t="str">
            <v/>
          </cell>
        </row>
        <row r="1129">
          <cell r="B1129" t="str">
            <v/>
          </cell>
        </row>
        <row r="1130">
          <cell r="B1130" t="str">
            <v/>
          </cell>
        </row>
        <row r="1131">
          <cell r="B1131" t="str">
            <v/>
          </cell>
        </row>
        <row r="1132">
          <cell r="B1132" t="str">
            <v/>
          </cell>
        </row>
        <row r="1133">
          <cell r="B1133" t="str">
            <v/>
          </cell>
        </row>
        <row r="1134">
          <cell r="B1134" t="str">
            <v/>
          </cell>
        </row>
        <row r="1135">
          <cell r="B1135" t="str">
            <v/>
          </cell>
        </row>
        <row r="1136">
          <cell r="B1136" t="str">
            <v/>
          </cell>
        </row>
        <row r="1137">
          <cell r="B1137" t="str">
            <v/>
          </cell>
        </row>
        <row r="1138">
          <cell r="B1138" t="str">
            <v/>
          </cell>
        </row>
        <row r="1139">
          <cell r="B1139" t="str">
            <v/>
          </cell>
        </row>
        <row r="1140">
          <cell r="B1140" t="str">
            <v/>
          </cell>
        </row>
        <row r="1141">
          <cell r="B1141" t="str">
            <v/>
          </cell>
        </row>
        <row r="1142">
          <cell r="B1142" t="str">
            <v/>
          </cell>
        </row>
        <row r="1143">
          <cell r="B1143" t="str">
            <v/>
          </cell>
        </row>
        <row r="1144">
          <cell r="B1144" t="str">
            <v/>
          </cell>
        </row>
        <row r="1145">
          <cell r="B1145" t="str">
            <v/>
          </cell>
        </row>
        <row r="1146">
          <cell r="B1146" t="str">
            <v/>
          </cell>
        </row>
        <row r="1147">
          <cell r="B1147" t="str">
            <v/>
          </cell>
        </row>
        <row r="1148">
          <cell r="B1148" t="str">
            <v/>
          </cell>
        </row>
        <row r="1149">
          <cell r="B1149" t="str">
            <v/>
          </cell>
        </row>
        <row r="1150">
          <cell r="B1150" t="str">
            <v/>
          </cell>
        </row>
        <row r="1151">
          <cell r="B1151" t="str">
            <v/>
          </cell>
        </row>
        <row r="1152">
          <cell r="B1152" t="str">
            <v/>
          </cell>
        </row>
        <row r="1153">
          <cell r="B1153" t="str">
            <v/>
          </cell>
        </row>
        <row r="1154">
          <cell r="B1154" t="str">
            <v/>
          </cell>
        </row>
        <row r="1155">
          <cell r="B1155" t="str">
            <v/>
          </cell>
        </row>
        <row r="1156">
          <cell r="B1156" t="str">
            <v/>
          </cell>
        </row>
        <row r="1157">
          <cell r="B1157" t="str">
            <v/>
          </cell>
        </row>
        <row r="1158">
          <cell r="B1158" t="str">
            <v/>
          </cell>
        </row>
        <row r="1159">
          <cell r="B1159" t="str">
            <v/>
          </cell>
        </row>
        <row r="1160">
          <cell r="B1160" t="str">
            <v/>
          </cell>
        </row>
        <row r="1161">
          <cell r="B1161" t="str">
            <v/>
          </cell>
        </row>
        <row r="1162">
          <cell r="B1162" t="str">
            <v/>
          </cell>
        </row>
        <row r="1163">
          <cell r="B1163" t="str">
            <v/>
          </cell>
        </row>
        <row r="1164">
          <cell r="B1164" t="str">
            <v/>
          </cell>
        </row>
        <row r="1165">
          <cell r="B1165" t="str">
            <v/>
          </cell>
        </row>
        <row r="1166">
          <cell r="B1166" t="str">
            <v/>
          </cell>
        </row>
        <row r="1167">
          <cell r="B1167" t="str">
            <v/>
          </cell>
        </row>
        <row r="1168">
          <cell r="B1168" t="str">
            <v/>
          </cell>
        </row>
        <row r="1169">
          <cell r="B1169" t="str">
            <v/>
          </cell>
        </row>
        <row r="1170">
          <cell r="B1170" t="str">
            <v/>
          </cell>
        </row>
        <row r="1171">
          <cell r="B1171" t="str">
            <v/>
          </cell>
        </row>
        <row r="1172">
          <cell r="B1172" t="str">
            <v/>
          </cell>
        </row>
        <row r="1173">
          <cell r="B1173" t="str">
            <v/>
          </cell>
        </row>
        <row r="1174">
          <cell r="B1174" t="str">
            <v/>
          </cell>
        </row>
        <row r="1175">
          <cell r="B1175" t="str">
            <v/>
          </cell>
        </row>
        <row r="1176">
          <cell r="B1176" t="str">
            <v/>
          </cell>
        </row>
        <row r="1177">
          <cell r="B1177" t="str">
            <v/>
          </cell>
        </row>
        <row r="1178">
          <cell r="B1178" t="str">
            <v/>
          </cell>
        </row>
        <row r="1179">
          <cell r="B1179" t="str">
            <v/>
          </cell>
        </row>
        <row r="1180">
          <cell r="B1180" t="str">
            <v/>
          </cell>
        </row>
        <row r="1181">
          <cell r="B1181" t="str">
            <v/>
          </cell>
        </row>
        <row r="1182">
          <cell r="B1182" t="str">
            <v/>
          </cell>
        </row>
        <row r="1183">
          <cell r="B1183" t="str">
            <v/>
          </cell>
        </row>
        <row r="1184">
          <cell r="B1184" t="str">
            <v/>
          </cell>
        </row>
        <row r="1185">
          <cell r="B1185" t="str">
            <v/>
          </cell>
        </row>
        <row r="1186">
          <cell r="B1186" t="str">
            <v/>
          </cell>
        </row>
        <row r="1187">
          <cell r="B1187" t="str">
            <v/>
          </cell>
        </row>
        <row r="1188">
          <cell r="B1188" t="str">
            <v/>
          </cell>
        </row>
        <row r="1189">
          <cell r="B1189" t="str">
            <v/>
          </cell>
        </row>
        <row r="1190">
          <cell r="B1190" t="str">
            <v/>
          </cell>
        </row>
        <row r="1191">
          <cell r="B1191" t="str">
            <v/>
          </cell>
        </row>
        <row r="1192">
          <cell r="B1192" t="str">
            <v/>
          </cell>
        </row>
        <row r="1193">
          <cell r="B1193" t="str">
            <v/>
          </cell>
        </row>
        <row r="1194">
          <cell r="B1194" t="str">
            <v/>
          </cell>
        </row>
        <row r="1195">
          <cell r="B1195" t="str">
            <v/>
          </cell>
        </row>
        <row r="1196">
          <cell r="B1196" t="str">
            <v/>
          </cell>
        </row>
        <row r="1197">
          <cell r="B1197" t="str">
            <v/>
          </cell>
        </row>
        <row r="1198">
          <cell r="B1198" t="str">
            <v/>
          </cell>
        </row>
        <row r="1199">
          <cell r="B1199" t="str">
            <v/>
          </cell>
        </row>
        <row r="1200">
          <cell r="B1200" t="str">
            <v/>
          </cell>
        </row>
        <row r="1201">
          <cell r="B1201" t="str">
            <v/>
          </cell>
        </row>
        <row r="1202">
          <cell r="B1202" t="str">
            <v/>
          </cell>
        </row>
        <row r="1203">
          <cell r="B1203" t="str">
            <v/>
          </cell>
        </row>
        <row r="1204">
          <cell r="B1204" t="str">
            <v/>
          </cell>
        </row>
        <row r="1205">
          <cell r="B1205" t="str">
            <v/>
          </cell>
        </row>
        <row r="1206">
          <cell r="B1206" t="str">
            <v/>
          </cell>
        </row>
        <row r="1207">
          <cell r="B1207" t="str">
            <v/>
          </cell>
        </row>
        <row r="1208">
          <cell r="B1208" t="str">
            <v/>
          </cell>
        </row>
        <row r="1209">
          <cell r="B1209" t="str">
            <v/>
          </cell>
        </row>
        <row r="1210">
          <cell r="B1210" t="str">
            <v/>
          </cell>
        </row>
        <row r="1211">
          <cell r="B1211" t="str">
            <v/>
          </cell>
        </row>
        <row r="1212">
          <cell r="B1212" t="str">
            <v/>
          </cell>
        </row>
        <row r="1213">
          <cell r="B1213" t="str">
            <v/>
          </cell>
        </row>
        <row r="1214">
          <cell r="B1214" t="str">
            <v/>
          </cell>
        </row>
        <row r="1215">
          <cell r="B1215" t="str">
            <v/>
          </cell>
        </row>
        <row r="1216">
          <cell r="B1216" t="str">
            <v/>
          </cell>
        </row>
        <row r="1217">
          <cell r="B1217" t="str">
            <v/>
          </cell>
        </row>
        <row r="1218">
          <cell r="B1218" t="str">
            <v/>
          </cell>
        </row>
        <row r="1219">
          <cell r="B1219" t="str">
            <v/>
          </cell>
        </row>
        <row r="1220">
          <cell r="B1220" t="str">
            <v/>
          </cell>
        </row>
        <row r="1221">
          <cell r="B1221" t="str">
            <v/>
          </cell>
        </row>
        <row r="1222">
          <cell r="B1222" t="str">
            <v/>
          </cell>
        </row>
        <row r="1223">
          <cell r="B1223" t="str">
            <v/>
          </cell>
        </row>
        <row r="1224">
          <cell r="B1224" t="str">
            <v/>
          </cell>
        </row>
        <row r="1225">
          <cell r="B1225" t="str">
            <v/>
          </cell>
        </row>
        <row r="1226">
          <cell r="B1226" t="str">
            <v/>
          </cell>
        </row>
        <row r="1227">
          <cell r="B1227" t="str">
            <v/>
          </cell>
        </row>
        <row r="1228">
          <cell r="B1228" t="str">
            <v/>
          </cell>
        </row>
        <row r="1229">
          <cell r="B1229" t="str">
            <v/>
          </cell>
        </row>
        <row r="1230">
          <cell r="B1230" t="str">
            <v/>
          </cell>
        </row>
        <row r="1231">
          <cell r="B1231" t="str">
            <v/>
          </cell>
        </row>
        <row r="1232">
          <cell r="B1232" t="str">
            <v/>
          </cell>
        </row>
        <row r="1233">
          <cell r="B1233" t="str">
            <v/>
          </cell>
        </row>
        <row r="1234">
          <cell r="B1234" t="str">
            <v/>
          </cell>
        </row>
        <row r="1235">
          <cell r="B1235" t="str">
            <v/>
          </cell>
        </row>
        <row r="1236">
          <cell r="B1236" t="str">
            <v/>
          </cell>
        </row>
        <row r="1237">
          <cell r="B1237" t="str">
            <v/>
          </cell>
        </row>
        <row r="1238">
          <cell r="B1238" t="str">
            <v/>
          </cell>
        </row>
        <row r="1239">
          <cell r="B1239" t="str">
            <v/>
          </cell>
        </row>
        <row r="1240">
          <cell r="B1240" t="str">
            <v/>
          </cell>
        </row>
        <row r="1241">
          <cell r="B1241" t="str">
            <v/>
          </cell>
        </row>
        <row r="1242">
          <cell r="B1242" t="str">
            <v/>
          </cell>
        </row>
        <row r="1243">
          <cell r="B1243" t="str">
            <v/>
          </cell>
        </row>
        <row r="1244">
          <cell r="B1244" t="str">
            <v/>
          </cell>
        </row>
        <row r="1245">
          <cell r="B1245" t="str">
            <v/>
          </cell>
        </row>
        <row r="1246">
          <cell r="B1246" t="str">
            <v/>
          </cell>
        </row>
        <row r="1247">
          <cell r="B1247" t="str">
            <v/>
          </cell>
        </row>
        <row r="1248">
          <cell r="B1248" t="str">
            <v/>
          </cell>
        </row>
        <row r="1249">
          <cell r="B1249" t="str">
            <v/>
          </cell>
        </row>
        <row r="1250">
          <cell r="B1250" t="str">
            <v/>
          </cell>
        </row>
        <row r="1251">
          <cell r="B1251" t="str">
            <v/>
          </cell>
        </row>
        <row r="1252">
          <cell r="B1252" t="str">
            <v/>
          </cell>
        </row>
        <row r="1253">
          <cell r="B1253" t="str">
            <v/>
          </cell>
        </row>
        <row r="1254">
          <cell r="B1254" t="str">
            <v/>
          </cell>
        </row>
        <row r="1255">
          <cell r="B1255" t="str">
            <v/>
          </cell>
        </row>
        <row r="1256">
          <cell r="B1256" t="str">
            <v/>
          </cell>
        </row>
        <row r="1257">
          <cell r="B1257" t="str">
            <v/>
          </cell>
        </row>
        <row r="1258">
          <cell r="B1258" t="str">
            <v/>
          </cell>
        </row>
        <row r="1259">
          <cell r="B1259" t="str">
            <v/>
          </cell>
        </row>
        <row r="1260">
          <cell r="B1260" t="str">
            <v/>
          </cell>
        </row>
        <row r="1261">
          <cell r="B1261" t="str">
            <v/>
          </cell>
        </row>
        <row r="1262">
          <cell r="B1262" t="str">
            <v/>
          </cell>
        </row>
        <row r="1263">
          <cell r="B1263" t="str">
            <v/>
          </cell>
        </row>
        <row r="1264">
          <cell r="B1264" t="str">
            <v/>
          </cell>
        </row>
        <row r="1265">
          <cell r="B1265" t="str">
            <v/>
          </cell>
        </row>
        <row r="1266">
          <cell r="B1266" t="str">
            <v/>
          </cell>
        </row>
        <row r="1267">
          <cell r="B1267" t="str">
            <v/>
          </cell>
        </row>
        <row r="1268">
          <cell r="B1268" t="str">
            <v/>
          </cell>
        </row>
        <row r="1269">
          <cell r="B1269" t="str">
            <v/>
          </cell>
        </row>
        <row r="1270">
          <cell r="B1270" t="str">
            <v/>
          </cell>
        </row>
        <row r="1271">
          <cell r="B1271" t="str">
            <v/>
          </cell>
        </row>
        <row r="1272">
          <cell r="B1272" t="str">
            <v/>
          </cell>
        </row>
        <row r="1273">
          <cell r="B1273" t="str">
            <v/>
          </cell>
        </row>
        <row r="1274">
          <cell r="B1274" t="str">
            <v/>
          </cell>
        </row>
        <row r="1275">
          <cell r="B1275" t="str">
            <v/>
          </cell>
        </row>
        <row r="1276">
          <cell r="B1276" t="str">
            <v/>
          </cell>
        </row>
        <row r="1277">
          <cell r="B1277" t="str">
            <v/>
          </cell>
        </row>
        <row r="1278">
          <cell r="B1278" t="str">
            <v/>
          </cell>
        </row>
        <row r="1279">
          <cell r="B1279" t="str">
            <v/>
          </cell>
        </row>
        <row r="1280">
          <cell r="B1280" t="str">
            <v/>
          </cell>
        </row>
        <row r="1281">
          <cell r="B1281" t="str">
            <v/>
          </cell>
        </row>
        <row r="1282">
          <cell r="B1282" t="str">
            <v/>
          </cell>
        </row>
        <row r="1283">
          <cell r="B1283" t="str">
            <v/>
          </cell>
        </row>
        <row r="1284">
          <cell r="B1284" t="str">
            <v/>
          </cell>
        </row>
        <row r="1285">
          <cell r="B1285" t="str">
            <v/>
          </cell>
        </row>
        <row r="1286">
          <cell r="B1286" t="str">
            <v/>
          </cell>
        </row>
        <row r="1287">
          <cell r="B1287" t="str">
            <v/>
          </cell>
        </row>
        <row r="1288">
          <cell r="B1288" t="str">
            <v/>
          </cell>
        </row>
        <row r="1289">
          <cell r="B1289" t="str">
            <v/>
          </cell>
        </row>
        <row r="1290">
          <cell r="B1290" t="str">
            <v/>
          </cell>
        </row>
        <row r="1291">
          <cell r="B1291" t="str">
            <v/>
          </cell>
        </row>
        <row r="1292">
          <cell r="B1292" t="str">
            <v/>
          </cell>
        </row>
        <row r="1293">
          <cell r="B1293" t="str">
            <v/>
          </cell>
        </row>
        <row r="1294">
          <cell r="B1294" t="str">
            <v/>
          </cell>
        </row>
        <row r="1295">
          <cell r="B1295" t="str">
            <v/>
          </cell>
        </row>
        <row r="1296">
          <cell r="B1296" t="str">
            <v/>
          </cell>
        </row>
        <row r="1297">
          <cell r="B1297" t="str">
            <v/>
          </cell>
        </row>
        <row r="1298">
          <cell r="B1298" t="str">
            <v/>
          </cell>
        </row>
        <row r="1299">
          <cell r="B1299" t="str">
            <v/>
          </cell>
        </row>
        <row r="1300">
          <cell r="B1300" t="str">
            <v/>
          </cell>
        </row>
        <row r="1301">
          <cell r="B1301" t="str">
            <v/>
          </cell>
        </row>
        <row r="1302">
          <cell r="B1302" t="str">
            <v/>
          </cell>
        </row>
        <row r="1303">
          <cell r="B1303" t="str">
            <v/>
          </cell>
        </row>
        <row r="1304">
          <cell r="B1304" t="str">
            <v/>
          </cell>
        </row>
        <row r="1305">
          <cell r="B1305" t="str">
            <v/>
          </cell>
        </row>
        <row r="1306">
          <cell r="B1306" t="str">
            <v/>
          </cell>
        </row>
        <row r="1307">
          <cell r="B1307" t="str">
            <v/>
          </cell>
        </row>
        <row r="1308">
          <cell r="B1308" t="str">
            <v/>
          </cell>
        </row>
        <row r="1309">
          <cell r="B1309" t="str">
            <v/>
          </cell>
        </row>
        <row r="1310">
          <cell r="B1310" t="str">
            <v/>
          </cell>
        </row>
        <row r="1311">
          <cell r="B1311" t="str">
            <v/>
          </cell>
        </row>
        <row r="1312">
          <cell r="B1312" t="str">
            <v/>
          </cell>
        </row>
        <row r="1313">
          <cell r="B1313" t="str">
            <v/>
          </cell>
        </row>
        <row r="1314">
          <cell r="B1314" t="str">
            <v/>
          </cell>
        </row>
        <row r="1315">
          <cell r="B1315" t="str">
            <v/>
          </cell>
        </row>
        <row r="1316">
          <cell r="B1316" t="str">
            <v/>
          </cell>
        </row>
        <row r="1317">
          <cell r="B1317" t="str">
            <v/>
          </cell>
        </row>
        <row r="1318">
          <cell r="B1318" t="str">
            <v/>
          </cell>
        </row>
        <row r="1319">
          <cell r="B1319" t="str">
            <v/>
          </cell>
        </row>
        <row r="1320">
          <cell r="B1320" t="str">
            <v/>
          </cell>
        </row>
        <row r="1321">
          <cell r="B1321" t="str">
            <v/>
          </cell>
        </row>
        <row r="1322">
          <cell r="B1322" t="str">
            <v/>
          </cell>
        </row>
        <row r="1323">
          <cell r="B1323" t="str">
            <v/>
          </cell>
        </row>
        <row r="1324">
          <cell r="B1324" t="str">
            <v/>
          </cell>
        </row>
        <row r="1325">
          <cell r="B1325" t="str">
            <v/>
          </cell>
        </row>
        <row r="1326">
          <cell r="B1326" t="str">
            <v/>
          </cell>
        </row>
        <row r="1327">
          <cell r="B1327" t="str">
            <v/>
          </cell>
        </row>
        <row r="1328">
          <cell r="B1328" t="str">
            <v/>
          </cell>
        </row>
        <row r="1329">
          <cell r="B1329" t="str">
            <v/>
          </cell>
        </row>
        <row r="1330">
          <cell r="B1330" t="str">
            <v/>
          </cell>
        </row>
        <row r="1331">
          <cell r="B1331" t="str">
            <v/>
          </cell>
        </row>
        <row r="1332">
          <cell r="B1332" t="str">
            <v/>
          </cell>
        </row>
        <row r="1333">
          <cell r="B1333" t="str">
            <v/>
          </cell>
        </row>
        <row r="1334">
          <cell r="B1334" t="str">
            <v/>
          </cell>
        </row>
        <row r="1335">
          <cell r="B1335" t="str">
            <v/>
          </cell>
        </row>
        <row r="1336">
          <cell r="B1336" t="str">
            <v/>
          </cell>
        </row>
        <row r="1337">
          <cell r="B1337" t="str">
            <v/>
          </cell>
        </row>
        <row r="1338">
          <cell r="B1338" t="str">
            <v/>
          </cell>
        </row>
        <row r="1339">
          <cell r="B1339" t="str">
            <v/>
          </cell>
        </row>
        <row r="1340">
          <cell r="B1340" t="str">
            <v/>
          </cell>
        </row>
        <row r="1341">
          <cell r="B1341" t="str">
            <v/>
          </cell>
        </row>
        <row r="1342">
          <cell r="B1342" t="str">
            <v/>
          </cell>
        </row>
        <row r="1343">
          <cell r="B1343" t="str">
            <v/>
          </cell>
        </row>
        <row r="1344">
          <cell r="B1344" t="str">
            <v/>
          </cell>
        </row>
        <row r="1345">
          <cell r="B1345" t="str">
            <v/>
          </cell>
        </row>
        <row r="1346">
          <cell r="B1346" t="str">
            <v/>
          </cell>
        </row>
        <row r="1347">
          <cell r="B1347" t="str">
            <v/>
          </cell>
        </row>
        <row r="1348">
          <cell r="B1348" t="str">
            <v/>
          </cell>
        </row>
        <row r="1349">
          <cell r="B1349" t="str">
            <v/>
          </cell>
        </row>
        <row r="1350">
          <cell r="B1350" t="str">
            <v/>
          </cell>
        </row>
        <row r="1351">
          <cell r="B1351" t="str">
            <v/>
          </cell>
        </row>
        <row r="1352">
          <cell r="B1352" t="str">
            <v/>
          </cell>
        </row>
        <row r="1353">
          <cell r="B1353" t="str">
            <v/>
          </cell>
        </row>
        <row r="1354">
          <cell r="B1354" t="str">
            <v/>
          </cell>
        </row>
        <row r="1355">
          <cell r="B1355" t="str">
            <v/>
          </cell>
        </row>
        <row r="1356">
          <cell r="B1356" t="str">
            <v/>
          </cell>
        </row>
        <row r="1357">
          <cell r="B1357" t="str">
            <v/>
          </cell>
        </row>
        <row r="1358">
          <cell r="B1358" t="str">
            <v/>
          </cell>
        </row>
        <row r="1359">
          <cell r="B1359" t="str">
            <v/>
          </cell>
        </row>
        <row r="1360">
          <cell r="B1360" t="str">
            <v/>
          </cell>
        </row>
        <row r="1361">
          <cell r="B1361" t="str">
            <v/>
          </cell>
        </row>
        <row r="1362">
          <cell r="B1362" t="str">
            <v/>
          </cell>
        </row>
        <row r="1363">
          <cell r="B1363" t="str">
            <v/>
          </cell>
        </row>
        <row r="1364">
          <cell r="B1364" t="str">
            <v/>
          </cell>
        </row>
        <row r="1365">
          <cell r="B1365" t="str">
            <v/>
          </cell>
        </row>
        <row r="1366">
          <cell r="B1366" t="str">
            <v/>
          </cell>
        </row>
        <row r="1367">
          <cell r="B1367" t="str">
            <v/>
          </cell>
        </row>
        <row r="1368">
          <cell r="B1368" t="str">
            <v/>
          </cell>
        </row>
        <row r="1369">
          <cell r="B1369" t="str">
            <v/>
          </cell>
        </row>
        <row r="1370">
          <cell r="B1370" t="str">
            <v/>
          </cell>
        </row>
        <row r="1371">
          <cell r="B1371" t="str">
            <v/>
          </cell>
        </row>
        <row r="1372">
          <cell r="B1372" t="str">
            <v/>
          </cell>
        </row>
        <row r="1373">
          <cell r="B1373" t="str">
            <v/>
          </cell>
        </row>
        <row r="1374">
          <cell r="B1374" t="str">
            <v/>
          </cell>
        </row>
        <row r="1375">
          <cell r="B1375" t="str">
            <v/>
          </cell>
        </row>
        <row r="1376">
          <cell r="B1376" t="str">
            <v/>
          </cell>
        </row>
        <row r="1377">
          <cell r="B1377" t="str">
            <v/>
          </cell>
        </row>
        <row r="1378">
          <cell r="B1378" t="str">
            <v/>
          </cell>
        </row>
        <row r="1379">
          <cell r="B1379" t="str">
            <v/>
          </cell>
        </row>
        <row r="1380">
          <cell r="B1380" t="str">
            <v/>
          </cell>
        </row>
        <row r="1381">
          <cell r="B1381" t="str">
            <v/>
          </cell>
        </row>
        <row r="1382">
          <cell r="B1382" t="str">
            <v/>
          </cell>
        </row>
        <row r="1383">
          <cell r="B1383" t="str">
            <v/>
          </cell>
        </row>
        <row r="1384">
          <cell r="B1384" t="str">
            <v/>
          </cell>
        </row>
        <row r="1385">
          <cell r="B1385" t="str">
            <v/>
          </cell>
        </row>
        <row r="1386">
          <cell r="B1386" t="str">
            <v/>
          </cell>
        </row>
        <row r="1387">
          <cell r="B1387" t="str">
            <v/>
          </cell>
        </row>
        <row r="1388">
          <cell r="B1388" t="str">
            <v/>
          </cell>
        </row>
        <row r="1389">
          <cell r="B1389" t="str">
            <v/>
          </cell>
        </row>
        <row r="1390">
          <cell r="B1390" t="str">
            <v/>
          </cell>
        </row>
        <row r="1391">
          <cell r="B1391" t="str">
            <v/>
          </cell>
        </row>
        <row r="1392">
          <cell r="B1392" t="str">
            <v/>
          </cell>
        </row>
        <row r="1393">
          <cell r="B1393" t="str">
            <v/>
          </cell>
        </row>
        <row r="1394">
          <cell r="B1394" t="str">
            <v/>
          </cell>
        </row>
        <row r="1395">
          <cell r="B1395" t="str">
            <v/>
          </cell>
        </row>
        <row r="1396">
          <cell r="B1396" t="str">
            <v/>
          </cell>
        </row>
        <row r="1397">
          <cell r="B1397" t="str">
            <v/>
          </cell>
        </row>
        <row r="1398">
          <cell r="B1398" t="str">
            <v/>
          </cell>
        </row>
        <row r="1399">
          <cell r="B1399" t="str">
            <v/>
          </cell>
        </row>
        <row r="1400">
          <cell r="B1400" t="str">
            <v/>
          </cell>
        </row>
        <row r="1401">
          <cell r="B1401" t="str">
            <v/>
          </cell>
        </row>
        <row r="1402">
          <cell r="B1402" t="str">
            <v/>
          </cell>
        </row>
        <row r="1403">
          <cell r="B1403" t="str">
            <v/>
          </cell>
        </row>
        <row r="1404">
          <cell r="B1404" t="str">
            <v/>
          </cell>
        </row>
        <row r="1405">
          <cell r="B1405" t="str">
            <v/>
          </cell>
        </row>
        <row r="1406">
          <cell r="B1406" t="str">
            <v/>
          </cell>
        </row>
        <row r="1407">
          <cell r="B1407" t="str">
            <v/>
          </cell>
        </row>
        <row r="1408">
          <cell r="B1408" t="str">
            <v/>
          </cell>
        </row>
        <row r="1409">
          <cell r="B1409" t="str">
            <v/>
          </cell>
        </row>
        <row r="1410">
          <cell r="B1410" t="str">
            <v/>
          </cell>
        </row>
        <row r="1411">
          <cell r="B1411" t="str">
            <v/>
          </cell>
        </row>
        <row r="1412">
          <cell r="B1412" t="str">
            <v/>
          </cell>
        </row>
        <row r="1413">
          <cell r="B1413" t="str">
            <v/>
          </cell>
        </row>
        <row r="1414">
          <cell r="B1414" t="str">
            <v/>
          </cell>
        </row>
        <row r="1415">
          <cell r="B1415" t="str">
            <v/>
          </cell>
        </row>
        <row r="1416">
          <cell r="B1416" t="str">
            <v/>
          </cell>
        </row>
        <row r="1417">
          <cell r="B1417" t="str">
            <v/>
          </cell>
        </row>
        <row r="1418">
          <cell r="B1418" t="str">
            <v/>
          </cell>
        </row>
        <row r="1419">
          <cell r="B1419" t="str">
            <v/>
          </cell>
        </row>
        <row r="1420">
          <cell r="B1420" t="str">
            <v/>
          </cell>
        </row>
        <row r="1421">
          <cell r="B1421" t="str">
            <v/>
          </cell>
        </row>
        <row r="1422">
          <cell r="B1422" t="str">
            <v/>
          </cell>
        </row>
        <row r="1423">
          <cell r="B1423" t="str">
            <v/>
          </cell>
        </row>
        <row r="1424">
          <cell r="B1424" t="str">
            <v/>
          </cell>
        </row>
        <row r="1425">
          <cell r="B1425" t="str">
            <v/>
          </cell>
        </row>
        <row r="1426">
          <cell r="B1426" t="str">
            <v/>
          </cell>
        </row>
        <row r="1427">
          <cell r="B1427" t="str">
            <v/>
          </cell>
        </row>
        <row r="1428">
          <cell r="B1428" t="str">
            <v/>
          </cell>
        </row>
        <row r="1429">
          <cell r="B1429" t="str">
            <v/>
          </cell>
        </row>
        <row r="1430">
          <cell r="B1430" t="str">
            <v/>
          </cell>
        </row>
        <row r="1431">
          <cell r="B1431" t="str">
            <v/>
          </cell>
        </row>
        <row r="1432">
          <cell r="B1432" t="str">
            <v/>
          </cell>
        </row>
        <row r="1433">
          <cell r="B1433" t="str">
            <v/>
          </cell>
        </row>
        <row r="1434">
          <cell r="B1434" t="str">
            <v/>
          </cell>
        </row>
        <row r="1435">
          <cell r="B1435" t="str">
            <v/>
          </cell>
        </row>
        <row r="1436">
          <cell r="B1436" t="str">
            <v/>
          </cell>
        </row>
        <row r="1437">
          <cell r="B1437" t="str">
            <v/>
          </cell>
        </row>
        <row r="1438">
          <cell r="B1438" t="str">
            <v/>
          </cell>
        </row>
        <row r="1439">
          <cell r="B1439" t="str">
            <v/>
          </cell>
        </row>
        <row r="1440">
          <cell r="B1440" t="str">
            <v/>
          </cell>
        </row>
        <row r="1441">
          <cell r="B1441" t="str">
            <v/>
          </cell>
        </row>
        <row r="1442">
          <cell r="B1442" t="str">
            <v/>
          </cell>
        </row>
        <row r="1443">
          <cell r="B1443" t="str">
            <v/>
          </cell>
        </row>
        <row r="1444">
          <cell r="B1444" t="str">
            <v/>
          </cell>
        </row>
        <row r="1445">
          <cell r="B1445" t="str">
            <v/>
          </cell>
        </row>
        <row r="1446">
          <cell r="B1446" t="str">
            <v/>
          </cell>
        </row>
        <row r="1447">
          <cell r="B1447" t="str">
            <v/>
          </cell>
        </row>
        <row r="1448">
          <cell r="B1448" t="str">
            <v/>
          </cell>
        </row>
        <row r="1449">
          <cell r="B1449" t="str">
            <v/>
          </cell>
        </row>
        <row r="1450">
          <cell r="B1450" t="str">
            <v/>
          </cell>
        </row>
        <row r="1451">
          <cell r="B1451" t="str">
            <v/>
          </cell>
        </row>
        <row r="1452">
          <cell r="B1452" t="str">
            <v/>
          </cell>
        </row>
        <row r="1453">
          <cell r="B1453" t="str">
            <v/>
          </cell>
        </row>
        <row r="1454">
          <cell r="B1454" t="str">
            <v/>
          </cell>
        </row>
        <row r="1455">
          <cell r="B1455" t="str">
            <v/>
          </cell>
        </row>
        <row r="1456">
          <cell r="B1456" t="str">
            <v/>
          </cell>
        </row>
        <row r="1457">
          <cell r="B1457" t="str">
            <v/>
          </cell>
        </row>
        <row r="1458">
          <cell r="B1458" t="str">
            <v/>
          </cell>
        </row>
        <row r="1459">
          <cell r="B1459" t="str">
            <v/>
          </cell>
        </row>
        <row r="1460">
          <cell r="B1460" t="str">
            <v/>
          </cell>
        </row>
        <row r="1461">
          <cell r="B1461" t="str">
            <v/>
          </cell>
        </row>
        <row r="1462">
          <cell r="B1462" t="str">
            <v/>
          </cell>
        </row>
        <row r="1463">
          <cell r="B1463" t="str">
            <v/>
          </cell>
        </row>
        <row r="1464">
          <cell r="B1464" t="str">
            <v/>
          </cell>
        </row>
        <row r="1465">
          <cell r="B1465" t="str">
            <v/>
          </cell>
        </row>
        <row r="1466">
          <cell r="B1466" t="str">
            <v/>
          </cell>
        </row>
        <row r="1467">
          <cell r="B1467" t="str">
            <v/>
          </cell>
        </row>
        <row r="1468">
          <cell r="B1468" t="str">
            <v/>
          </cell>
        </row>
        <row r="1469">
          <cell r="B1469" t="str">
            <v/>
          </cell>
        </row>
        <row r="1470">
          <cell r="B1470" t="str">
            <v/>
          </cell>
        </row>
        <row r="1471">
          <cell r="B1471" t="str">
            <v/>
          </cell>
        </row>
        <row r="1472">
          <cell r="B1472" t="str">
            <v/>
          </cell>
        </row>
        <row r="1473">
          <cell r="B1473" t="str">
            <v/>
          </cell>
        </row>
        <row r="1474">
          <cell r="B1474" t="str">
            <v/>
          </cell>
        </row>
        <row r="1475">
          <cell r="B1475" t="str">
            <v/>
          </cell>
        </row>
        <row r="1476">
          <cell r="B1476" t="str">
            <v/>
          </cell>
        </row>
        <row r="1477">
          <cell r="B1477" t="str">
            <v/>
          </cell>
        </row>
        <row r="1478">
          <cell r="B1478" t="str">
            <v/>
          </cell>
        </row>
        <row r="1479">
          <cell r="B1479" t="str">
            <v/>
          </cell>
        </row>
        <row r="1480">
          <cell r="B1480" t="str">
            <v/>
          </cell>
        </row>
        <row r="1481">
          <cell r="B1481" t="str">
            <v/>
          </cell>
        </row>
        <row r="1482">
          <cell r="B1482" t="str">
            <v/>
          </cell>
        </row>
        <row r="1483">
          <cell r="B1483" t="str">
            <v/>
          </cell>
        </row>
        <row r="1484">
          <cell r="B1484" t="str">
            <v/>
          </cell>
        </row>
        <row r="1485">
          <cell r="B1485" t="str">
            <v/>
          </cell>
        </row>
        <row r="1486">
          <cell r="B1486" t="str">
            <v/>
          </cell>
        </row>
        <row r="1487">
          <cell r="B1487" t="str">
            <v/>
          </cell>
        </row>
        <row r="1488">
          <cell r="B1488" t="str">
            <v/>
          </cell>
        </row>
        <row r="1489">
          <cell r="B1489" t="str">
            <v/>
          </cell>
        </row>
        <row r="1490">
          <cell r="B1490" t="str">
            <v/>
          </cell>
        </row>
        <row r="1491">
          <cell r="B1491" t="str">
            <v/>
          </cell>
        </row>
        <row r="1492">
          <cell r="B1492" t="str">
            <v/>
          </cell>
        </row>
        <row r="1493">
          <cell r="B1493" t="str">
            <v/>
          </cell>
        </row>
        <row r="1494">
          <cell r="B1494" t="str">
            <v/>
          </cell>
        </row>
        <row r="1495">
          <cell r="B1495" t="str">
            <v/>
          </cell>
        </row>
        <row r="1496">
          <cell r="B1496" t="str">
            <v/>
          </cell>
        </row>
        <row r="1497">
          <cell r="B1497" t="str">
            <v/>
          </cell>
        </row>
        <row r="1498">
          <cell r="B1498" t="str">
            <v/>
          </cell>
        </row>
        <row r="1499">
          <cell r="B1499" t="str">
            <v/>
          </cell>
        </row>
        <row r="1500">
          <cell r="B1500" t="str">
            <v/>
          </cell>
        </row>
        <row r="1501">
          <cell r="B1501" t="str">
            <v/>
          </cell>
        </row>
        <row r="1502">
          <cell r="B1502" t="str">
            <v/>
          </cell>
        </row>
        <row r="1503">
          <cell r="B1503" t="str">
            <v/>
          </cell>
        </row>
        <row r="1504">
          <cell r="B1504" t="str">
            <v/>
          </cell>
        </row>
        <row r="1505">
          <cell r="B1505" t="str">
            <v/>
          </cell>
        </row>
        <row r="1506">
          <cell r="B1506" t="str">
            <v/>
          </cell>
        </row>
        <row r="1507">
          <cell r="B1507" t="str">
            <v/>
          </cell>
        </row>
        <row r="1508">
          <cell r="B1508" t="str">
            <v/>
          </cell>
        </row>
        <row r="1509">
          <cell r="B1509" t="str">
            <v/>
          </cell>
        </row>
        <row r="1510">
          <cell r="B1510" t="str">
            <v/>
          </cell>
        </row>
        <row r="1511">
          <cell r="B1511" t="str">
            <v/>
          </cell>
        </row>
        <row r="1512">
          <cell r="B1512" t="str">
            <v/>
          </cell>
        </row>
        <row r="1513">
          <cell r="B1513" t="str">
            <v/>
          </cell>
        </row>
        <row r="1514">
          <cell r="B1514" t="str">
            <v/>
          </cell>
        </row>
        <row r="1515">
          <cell r="B1515" t="str">
            <v/>
          </cell>
        </row>
        <row r="1516">
          <cell r="B1516" t="str">
            <v/>
          </cell>
        </row>
        <row r="1517">
          <cell r="B1517" t="str">
            <v/>
          </cell>
        </row>
        <row r="1518">
          <cell r="B1518" t="str">
            <v/>
          </cell>
        </row>
        <row r="1519">
          <cell r="B1519" t="str">
            <v/>
          </cell>
        </row>
        <row r="1520">
          <cell r="B1520" t="str">
            <v/>
          </cell>
        </row>
        <row r="1521">
          <cell r="B1521" t="str">
            <v/>
          </cell>
        </row>
        <row r="1522">
          <cell r="B1522" t="str">
            <v/>
          </cell>
        </row>
        <row r="1523">
          <cell r="B1523" t="str">
            <v/>
          </cell>
        </row>
        <row r="1524">
          <cell r="B1524" t="str">
            <v/>
          </cell>
        </row>
        <row r="1525">
          <cell r="B1525" t="str">
            <v/>
          </cell>
        </row>
        <row r="1526">
          <cell r="B1526" t="str">
            <v/>
          </cell>
        </row>
        <row r="1527">
          <cell r="B1527" t="str">
            <v/>
          </cell>
        </row>
        <row r="1528">
          <cell r="B1528" t="str">
            <v/>
          </cell>
        </row>
        <row r="1529">
          <cell r="B1529" t="str">
            <v/>
          </cell>
        </row>
        <row r="1530">
          <cell r="B1530" t="str">
            <v/>
          </cell>
        </row>
        <row r="1531">
          <cell r="B1531" t="str">
            <v/>
          </cell>
        </row>
        <row r="1532">
          <cell r="B1532" t="str">
            <v/>
          </cell>
        </row>
        <row r="1533">
          <cell r="B1533" t="str">
            <v/>
          </cell>
        </row>
        <row r="1534">
          <cell r="B1534" t="str">
            <v/>
          </cell>
        </row>
        <row r="1535">
          <cell r="B1535" t="str">
            <v/>
          </cell>
        </row>
        <row r="1536">
          <cell r="B1536" t="str">
            <v/>
          </cell>
        </row>
        <row r="1537">
          <cell r="B1537" t="str">
            <v/>
          </cell>
        </row>
        <row r="1538">
          <cell r="B1538" t="str">
            <v/>
          </cell>
        </row>
        <row r="1539">
          <cell r="B1539" t="str">
            <v/>
          </cell>
        </row>
        <row r="1540">
          <cell r="B1540" t="str">
            <v/>
          </cell>
        </row>
        <row r="1541">
          <cell r="B1541" t="str">
            <v/>
          </cell>
        </row>
        <row r="1542">
          <cell r="B1542" t="str">
            <v/>
          </cell>
        </row>
        <row r="1543">
          <cell r="B1543" t="str">
            <v/>
          </cell>
        </row>
        <row r="1544">
          <cell r="B1544" t="str">
            <v/>
          </cell>
        </row>
        <row r="1545">
          <cell r="B1545" t="str">
            <v/>
          </cell>
        </row>
        <row r="1546">
          <cell r="B1546" t="str">
            <v/>
          </cell>
        </row>
        <row r="1547">
          <cell r="B1547" t="str">
            <v/>
          </cell>
        </row>
        <row r="1548">
          <cell r="B1548" t="str">
            <v/>
          </cell>
        </row>
        <row r="1549">
          <cell r="B1549" t="str">
            <v/>
          </cell>
        </row>
        <row r="1550">
          <cell r="B1550" t="str">
            <v/>
          </cell>
        </row>
        <row r="1551">
          <cell r="B1551" t="str">
            <v/>
          </cell>
        </row>
        <row r="1552">
          <cell r="B1552" t="str">
            <v/>
          </cell>
        </row>
        <row r="1553">
          <cell r="B1553" t="str">
            <v/>
          </cell>
        </row>
        <row r="1554">
          <cell r="B1554" t="str">
            <v/>
          </cell>
        </row>
        <row r="1555">
          <cell r="B1555" t="str">
            <v/>
          </cell>
        </row>
        <row r="1556">
          <cell r="B1556" t="str">
            <v/>
          </cell>
        </row>
        <row r="1557">
          <cell r="B1557" t="str">
            <v/>
          </cell>
        </row>
        <row r="1558">
          <cell r="B1558" t="str">
            <v/>
          </cell>
        </row>
        <row r="1559">
          <cell r="B1559" t="str">
            <v/>
          </cell>
        </row>
        <row r="1560">
          <cell r="B1560" t="str">
            <v/>
          </cell>
        </row>
        <row r="1561">
          <cell r="B1561" t="str">
            <v/>
          </cell>
        </row>
        <row r="1562">
          <cell r="B1562" t="str">
            <v/>
          </cell>
        </row>
        <row r="1563">
          <cell r="B1563" t="str">
            <v/>
          </cell>
        </row>
        <row r="1564">
          <cell r="B1564" t="str">
            <v/>
          </cell>
        </row>
        <row r="1565">
          <cell r="B1565" t="str">
            <v/>
          </cell>
        </row>
        <row r="1566">
          <cell r="B1566" t="str">
            <v/>
          </cell>
        </row>
        <row r="1567">
          <cell r="B1567" t="str">
            <v/>
          </cell>
        </row>
        <row r="1568">
          <cell r="B1568" t="str">
            <v/>
          </cell>
        </row>
        <row r="1569">
          <cell r="B1569" t="str">
            <v/>
          </cell>
        </row>
        <row r="1570">
          <cell r="B1570" t="str">
            <v/>
          </cell>
        </row>
        <row r="1571">
          <cell r="B1571" t="str">
            <v/>
          </cell>
        </row>
        <row r="1572">
          <cell r="B1572" t="str">
            <v/>
          </cell>
        </row>
        <row r="1573">
          <cell r="B1573" t="str">
            <v/>
          </cell>
        </row>
        <row r="1574">
          <cell r="B1574" t="str">
            <v/>
          </cell>
        </row>
        <row r="1575">
          <cell r="B1575" t="str">
            <v/>
          </cell>
        </row>
        <row r="1576">
          <cell r="B1576" t="str">
            <v/>
          </cell>
        </row>
        <row r="1577">
          <cell r="B1577" t="str">
            <v/>
          </cell>
        </row>
        <row r="1578">
          <cell r="B1578" t="str">
            <v/>
          </cell>
        </row>
        <row r="1579">
          <cell r="B1579" t="str">
            <v/>
          </cell>
        </row>
        <row r="1580">
          <cell r="B1580" t="str">
            <v/>
          </cell>
        </row>
        <row r="1581">
          <cell r="B1581" t="str">
            <v/>
          </cell>
        </row>
        <row r="1582">
          <cell r="B1582" t="str">
            <v/>
          </cell>
        </row>
        <row r="1583">
          <cell r="B1583" t="str">
            <v/>
          </cell>
        </row>
        <row r="1584">
          <cell r="B1584" t="str">
            <v/>
          </cell>
        </row>
        <row r="1585">
          <cell r="B1585" t="str">
            <v/>
          </cell>
        </row>
        <row r="1586">
          <cell r="B1586" t="str">
            <v/>
          </cell>
        </row>
        <row r="1587">
          <cell r="B1587" t="str">
            <v/>
          </cell>
        </row>
        <row r="1588">
          <cell r="B1588" t="str">
            <v/>
          </cell>
        </row>
        <row r="1589">
          <cell r="B1589" t="str">
            <v/>
          </cell>
        </row>
        <row r="1590">
          <cell r="B1590" t="str">
            <v/>
          </cell>
        </row>
        <row r="1591">
          <cell r="B1591" t="str">
            <v/>
          </cell>
        </row>
        <row r="1592">
          <cell r="B1592" t="str">
            <v/>
          </cell>
        </row>
        <row r="1593">
          <cell r="B1593" t="str">
            <v/>
          </cell>
        </row>
        <row r="1594">
          <cell r="B1594" t="str">
            <v/>
          </cell>
        </row>
        <row r="1595">
          <cell r="B1595" t="str">
            <v/>
          </cell>
        </row>
        <row r="1596">
          <cell r="B1596" t="str">
            <v/>
          </cell>
        </row>
        <row r="1597">
          <cell r="B1597" t="str">
            <v/>
          </cell>
        </row>
        <row r="1598">
          <cell r="B1598" t="str">
            <v/>
          </cell>
        </row>
        <row r="1599">
          <cell r="B1599" t="str">
            <v/>
          </cell>
        </row>
        <row r="1600">
          <cell r="B1600" t="str">
            <v/>
          </cell>
        </row>
        <row r="1601">
          <cell r="B1601" t="str">
            <v/>
          </cell>
        </row>
        <row r="1602">
          <cell r="B1602" t="str">
            <v/>
          </cell>
        </row>
        <row r="1603">
          <cell r="B1603" t="str">
            <v/>
          </cell>
        </row>
        <row r="1604">
          <cell r="B1604" t="str">
            <v/>
          </cell>
        </row>
        <row r="1605">
          <cell r="B1605" t="str">
            <v/>
          </cell>
        </row>
        <row r="1606">
          <cell r="B1606" t="str">
            <v/>
          </cell>
        </row>
        <row r="1607">
          <cell r="B1607" t="str">
            <v/>
          </cell>
        </row>
        <row r="1608">
          <cell r="B1608" t="str">
            <v/>
          </cell>
        </row>
        <row r="1609">
          <cell r="B1609" t="str">
            <v/>
          </cell>
        </row>
        <row r="1610">
          <cell r="B1610" t="str">
            <v/>
          </cell>
        </row>
        <row r="1611">
          <cell r="B1611" t="str">
            <v/>
          </cell>
        </row>
        <row r="1612">
          <cell r="B1612" t="str">
            <v/>
          </cell>
        </row>
        <row r="1613">
          <cell r="B1613" t="str">
            <v/>
          </cell>
        </row>
        <row r="1614">
          <cell r="B1614" t="str">
            <v/>
          </cell>
        </row>
        <row r="1615">
          <cell r="B1615" t="str">
            <v/>
          </cell>
        </row>
        <row r="1616">
          <cell r="B1616" t="str">
            <v/>
          </cell>
        </row>
        <row r="1617">
          <cell r="B1617" t="str">
            <v/>
          </cell>
        </row>
        <row r="1618">
          <cell r="B1618" t="str">
            <v/>
          </cell>
        </row>
        <row r="1619">
          <cell r="B1619" t="str">
            <v/>
          </cell>
        </row>
        <row r="1620">
          <cell r="B1620" t="str">
            <v/>
          </cell>
        </row>
        <row r="1621">
          <cell r="B1621" t="str">
            <v/>
          </cell>
        </row>
        <row r="1622">
          <cell r="B1622" t="str">
            <v/>
          </cell>
        </row>
        <row r="1623">
          <cell r="B1623" t="str">
            <v/>
          </cell>
        </row>
        <row r="1624">
          <cell r="B1624" t="str">
            <v/>
          </cell>
        </row>
        <row r="1625">
          <cell r="B1625" t="str">
            <v/>
          </cell>
        </row>
        <row r="1626">
          <cell r="B1626" t="str">
            <v/>
          </cell>
        </row>
        <row r="1627">
          <cell r="B1627" t="str">
            <v/>
          </cell>
        </row>
        <row r="1628">
          <cell r="B1628" t="str">
            <v/>
          </cell>
        </row>
        <row r="1629">
          <cell r="B1629" t="str">
            <v/>
          </cell>
        </row>
        <row r="1630">
          <cell r="B1630" t="str">
            <v/>
          </cell>
        </row>
        <row r="1631">
          <cell r="B1631" t="str">
            <v/>
          </cell>
        </row>
        <row r="1632">
          <cell r="B1632" t="str">
            <v/>
          </cell>
        </row>
        <row r="1633">
          <cell r="B1633" t="str">
            <v/>
          </cell>
        </row>
        <row r="1634">
          <cell r="B1634" t="str">
            <v/>
          </cell>
        </row>
        <row r="1635">
          <cell r="B1635" t="str">
            <v/>
          </cell>
        </row>
        <row r="1636">
          <cell r="B1636" t="str">
            <v/>
          </cell>
        </row>
        <row r="1637">
          <cell r="B1637" t="str">
            <v/>
          </cell>
        </row>
        <row r="1638">
          <cell r="B1638" t="str">
            <v/>
          </cell>
        </row>
        <row r="1639">
          <cell r="B1639" t="str">
            <v/>
          </cell>
        </row>
        <row r="1640">
          <cell r="B1640" t="str">
            <v/>
          </cell>
        </row>
        <row r="1641">
          <cell r="B1641" t="str">
            <v/>
          </cell>
        </row>
        <row r="1642">
          <cell r="B1642" t="str">
            <v/>
          </cell>
        </row>
        <row r="1643">
          <cell r="B1643" t="str">
            <v/>
          </cell>
        </row>
        <row r="1644">
          <cell r="B1644" t="str">
            <v/>
          </cell>
        </row>
        <row r="1645">
          <cell r="B1645" t="str">
            <v/>
          </cell>
        </row>
        <row r="1646">
          <cell r="B1646" t="str">
            <v/>
          </cell>
        </row>
        <row r="1647">
          <cell r="B1647" t="str">
            <v/>
          </cell>
        </row>
        <row r="1648">
          <cell r="B1648" t="str">
            <v/>
          </cell>
        </row>
        <row r="1649">
          <cell r="B1649" t="str">
            <v/>
          </cell>
        </row>
        <row r="1650">
          <cell r="B1650" t="str">
            <v/>
          </cell>
        </row>
        <row r="1651">
          <cell r="B1651" t="str">
            <v/>
          </cell>
        </row>
        <row r="1652">
          <cell r="B1652" t="str">
            <v/>
          </cell>
        </row>
        <row r="1653">
          <cell r="B1653" t="str">
            <v/>
          </cell>
        </row>
        <row r="1654">
          <cell r="B1654" t="str">
            <v/>
          </cell>
        </row>
        <row r="1655">
          <cell r="B1655" t="str">
            <v/>
          </cell>
        </row>
        <row r="1656">
          <cell r="B1656" t="str">
            <v/>
          </cell>
        </row>
        <row r="1657">
          <cell r="B1657" t="str">
            <v/>
          </cell>
        </row>
        <row r="1658">
          <cell r="B1658" t="str">
            <v/>
          </cell>
        </row>
        <row r="1659">
          <cell r="B1659" t="str">
            <v/>
          </cell>
        </row>
        <row r="1660">
          <cell r="B1660" t="str">
            <v/>
          </cell>
        </row>
        <row r="1661">
          <cell r="B1661" t="str">
            <v/>
          </cell>
        </row>
        <row r="1662">
          <cell r="B1662" t="str">
            <v/>
          </cell>
        </row>
        <row r="1663">
          <cell r="B1663" t="str">
            <v/>
          </cell>
        </row>
        <row r="1664">
          <cell r="B1664" t="str">
            <v/>
          </cell>
        </row>
        <row r="1665">
          <cell r="B1665" t="str">
            <v/>
          </cell>
        </row>
        <row r="1666">
          <cell r="B1666" t="str">
            <v/>
          </cell>
        </row>
        <row r="1667">
          <cell r="B1667" t="str">
            <v/>
          </cell>
        </row>
        <row r="1668">
          <cell r="B1668" t="str">
            <v/>
          </cell>
        </row>
        <row r="1669">
          <cell r="B1669" t="str">
            <v/>
          </cell>
        </row>
        <row r="1670">
          <cell r="B1670" t="str">
            <v/>
          </cell>
        </row>
        <row r="1671">
          <cell r="B1671" t="str">
            <v/>
          </cell>
        </row>
        <row r="1672">
          <cell r="B1672" t="str">
            <v/>
          </cell>
        </row>
        <row r="1673">
          <cell r="B1673" t="str">
            <v/>
          </cell>
        </row>
        <row r="1674">
          <cell r="B1674" t="str">
            <v/>
          </cell>
        </row>
        <row r="1675">
          <cell r="B1675" t="str">
            <v/>
          </cell>
        </row>
        <row r="1676">
          <cell r="B1676" t="str">
            <v/>
          </cell>
        </row>
        <row r="1677">
          <cell r="B1677" t="str">
            <v/>
          </cell>
        </row>
        <row r="1678">
          <cell r="B1678" t="str">
            <v/>
          </cell>
        </row>
        <row r="1679">
          <cell r="B1679" t="str">
            <v/>
          </cell>
        </row>
        <row r="1680">
          <cell r="B1680" t="str">
            <v/>
          </cell>
        </row>
        <row r="1681">
          <cell r="B1681" t="str">
            <v/>
          </cell>
        </row>
        <row r="1682">
          <cell r="B1682" t="str">
            <v/>
          </cell>
        </row>
        <row r="1683">
          <cell r="B1683" t="str">
            <v/>
          </cell>
        </row>
        <row r="1684">
          <cell r="B1684" t="str">
            <v/>
          </cell>
        </row>
        <row r="1685">
          <cell r="B1685" t="str">
            <v/>
          </cell>
        </row>
        <row r="1686">
          <cell r="B1686" t="str">
            <v/>
          </cell>
        </row>
        <row r="1687">
          <cell r="B1687" t="str">
            <v/>
          </cell>
        </row>
        <row r="1688">
          <cell r="B1688" t="str">
            <v/>
          </cell>
        </row>
        <row r="1689">
          <cell r="B1689" t="str">
            <v/>
          </cell>
        </row>
        <row r="1690">
          <cell r="B1690" t="str">
            <v/>
          </cell>
        </row>
        <row r="1691">
          <cell r="B1691" t="str">
            <v/>
          </cell>
        </row>
        <row r="1692">
          <cell r="B1692" t="str">
            <v/>
          </cell>
        </row>
        <row r="1693">
          <cell r="B1693" t="str">
            <v/>
          </cell>
        </row>
        <row r="1694">
          <cell r="B1694" t="str">
            <v/>
          </cell>
        </row>
        <row r="1695">
          <cell r="B1695" t="str">
            <v/>
          </cell>
        </row>
        <row r="1696">
          <cell r="B1696" t="str">
            <v/>
          </cell>
        </row>
        <row r="1697">
          <cell r="B1697" t="str">
            <v/>
          </cell>
        </row>
        <row r="1698">
          <cell r="B1698" t="str">
            <v/>
          </cell>
        </row>
        <row r="1699">
          <cell r="B1699" t="str">
            <v/>
          </cell>
        </row>
        <row r="1700">
          <cell r="B1700" t="str">
            <v/>
          </cell>
        </row>
        <row r="1701">
          <cell r="B1701" t="str">
            <v/>
          </cell>
        </row>
        <row r="1702">
          <cell r="B1702" t="str">
            <v/>
          </cell>
        </row>
        <row r="1703">
          <cell r="B1703" t="str">
            <v/>
          </cell>
        </row>
        <row r="1704">
          <cell r="B1704" t="str">
            <v/>
          </cell>
        </row>
        <row r="1705">
          <cell r="B1705" t="str">
            <v/>
          </cell>
        </row>
        <row r="1706">
          <cell r="B1706" t="str">
            <v/>
          </cell>
        </row>
        <row r="1707">
          <cell r="B1707" t="str">
            <v/>
          </cell>
        </row>
        <row r="1708">
          <cell r="B1708" t="str">
            <v/>
          </cell>
        </row>
        <row r="1709">
          <cell r="B1709" t="str">
            <v/>
          </cell>
        </row>
        <row r="1710">
          <cell r="B1710" t="str">
            <v/>
          </cell>
        </row>
        <row r="1711">
          <cell r="B1711" t="str">
            <v/>
          </cell>
        </row>
        <row r="1712">
          <cell r="B1712" t="str">
            <v/>
          </cell>
        </row>
        <row r="1713">
          <cell r="B1713" t="str">
            <v/>
          </cell>
        </row>
        <row r="1714">
          <cell r="B1714" t="str">
            <v/>
          </cell>
        </row>
        <row r="1715">
          <cell r="B1715" t="str">
            <v/>
          </cell>
        </row>
        <row r="1716">
          <cell r="B1716" t="str">
            <v/>
          </cell>
        </row>
        <row r="1717">
          <cell r="B1717" t="str">
            <v/>
          </cell>
        </row>
        <row r="1718">
          <cell r="B1718" t="str">
            <v/>
          </cell>
        </row>
        <row r="1719">
          <cell r="B1719" t="str">
            <v/>
          </cell>
        </row>
        <row r="1720">
          <cell r="B1720" t="str">
            <v/>
          </cell>
        </row>
        <row r="1721">
          <cell r="B1721" t="str">
            <v/>
          </cell>
        </row>
        <row r="1722">
          <cell r="B1722" t="str">
            <v/>
          </cell>
        </row>
        <row r="1723">
          <cell r="B1723" t="str">
            <v/>
          </cell>
        </row>
        <row r="1724">
          <cell r="B1724" t="str">
            <v/>
          </cell>
        </row>
        <row r="1725">
          <cell r="B1725" t="str">
            <v/>
          </cell>
        </row>
        <row r="1726">
          <cell r="B1726" t="str">
            <v/>
          </cell>
        </row>
        <row r="1727">
          <cell r="B1727" t="str">
            <v/>
          </cell>
        </row>
        <row r="1728">
          <cell r="B1728" t="str">
            <v/>
          </cell>
        </row>
        <row r="1729">
          <cell r="B1729" t="str">
            <v/>
          </cell>
        </row>
        <row r="1730">
          <cell r="B1730" t="str">
            <v/>
          </cell>
        </row>
        <row r="1731">
          <cell r="B1731" t="str">
            <v/>
          </cell>
        </row>
        <row r="1732">
          <cell r="B1732" t="str">
            <v/>
          </cell>
        </row>
        <row r="1733">
          <cell r="B1733" t="str">
            <v/>
          </cell>
        </row>
        <row r="1734">
          <cell r="B1734" t="str">
            <v/>
          </cell>
        </row>
        <row r="1735">
          <cell r="B1735" t="str">
            <v/>
          </cell>
        </row>
        <row r="1736">
          <cell r="B1736" t="str">
            <v/>
          </cell>
        </row>
        <row r="1737">
          <cell r="B1737" t="str">
            <v/>
          </cell>
        </row>
        <row r="1738">
          <cell r="B1738" t="str">
            <v/>
          </cell>
        </row>
        <row r="1739">
          <cell r="B1739" t="str">
            <v/>
          </cell>
        </row>
        <row r="1740">
          <cell r="B1740" t="str">
            <v/>
          </cell>
        </row>
        <row r="1741">
          <cell r="B1741" t="str">
            <v/>
          </cell>
        </row>
        <row r="1742">
          <cell r="B1742" t="str">
            <v/>
          </cell>
        </row>
        <row r="1743">
          <cell r="B1743" t="str">
            <v/>
          </cell>
        </row>
        <row r="1744">
          <cell r="B1744" t="str">
            <v/>
          </cell>
        </row>
        <row r="1745">
          <cell r="B1745" t="str">
            <v/>
          </cell>
        </row>
        <row r="1746">
          <cell r="B1746" t="str">
            <v/>
          </cell>
        </row>
        <row r="1747">
          <cell r="B1747" t="str">
            <v/>
          </cell>
        </row>
        <row r="1748">
          <cell r="B1748" t="str">
            <v/>
          </cell>
        </row>
        <row r="1749">
          <cell r="B1749" t="str">
            <v/>
          </cell>
        </row>
        <row r="1750">
          <cell r="B1750" t="str">
            <v/>
          </cell>
        </row>
        <row r="1751">
          <cell r="B1751" t="str">
            <v/>
          </cell>
        </row>
        <row r="1752">
          <cell r="B1752" t="str">
            <v/>
          </cell>
        </row>
        <row r="1753">
          <cell r="B1753" t="str">
            <v/>
          </cell>
        </row>
        <row r="1754">
          <cell r="B1754" t="str">
            <v/>
          </cell>
        </row>
        <row r="1755">
          <cell r="B1755" t="str">
            <v/>
          </cell>
        </row>
        <row r="1756">
          <cell r="B1756" t="str">
            <v/>
          </cell>
        </row>
        <row r="1757">
          <cell r="B1757" t="str">
            <v/>
          </cell>
        </row>
        <row r="1758">
          <cell r="B1758" t="str">
            <v/>
          </cell>
        </row>
        <row r="1759">
          <cell r="B1759" t="str">
            <v/>
          </cell>
        </row>
        <row r="1760">
          <cell r="B1760" t="str">
            <v/>
          </cell>
        </row>
        <row r="1761">
          <cell r="B1761" t="str">
            <v/>
          </cell>
        </row>
        <row r="1762">
          <cell r="B1762" t="str">
            <v/>
          </cell>
        </row>
        <row r="1763">
          <cell r="B1763" t="str">
            <v/>
          </cell>
        </row>
        <row r="1764">
          <cell r="B1764" t="str">
            <v/>
          </cell>
        </row>
        <row r="1765">
          <cell r="B1765" t="str">
            <v/>
          </cell>
        </row>
        <row r="1766">
          <cell r="B1766" t="str">
            <v/>
          </cell>
        </row>
        <row r="1767">
          <cell r="B1767" t="str">
            <v/>
          </cell>
        </row>
        <row r="1768">
          <cell r="B1768" t="str">
            <v/>
          </cell>
        </row>
        <row r="1769">
          <cell r="B1769" t="str">
            <v/>
          </cell>
        </row>
        <row r="1770">
          <cell r="B1770" t="str">
            <v/>
          </cell>
        </row>
        <row r="1771">
          <cell r="B1771" t="str">
            <v/>
          </cell>
        </row>
        <row r="1772">
          <cell r="B1772" t="str">
            <v/>
          </cell>
        </row>
        <row r="1773">
          <cell r="B1773" t="str">
            <v/>
          </cell>
        </row>
        <row r="1774">
          <cell r="B1774" t="str">
            <v/>
          </cell>
        </row>
        <row r="1775">
          <cell r="B1775" t="str">
            <v/>
          </cell>
        </row>
        <row r="1776">
          <cell r="B1776" t="str">
            <v/>
          </cell>
        </row>
        <row r="1777">
          <cell r="B1777" t="str">
            <v/>
          </cell>
        </row>
        <row r="1778">
          <cell r="B1778" t="str">
            <v/>
          </cell>
        </row>
        <row r="1779">
          <cell r="B1779" t="str">
            <v/>
          </cell>
        </row>
        <row r="1780">
          <cell r="B1780" t="str">
            <v/>
          </cell>
        </row>
        <row r="1781">
          <cell r="B1781" t="str">
            <v/>
          </cell>
        </row>
        <row r="1782">
          <cell r="B1782" t="str">
            <v/>
          </cell>
        </row>
        <row r="1783">
          <cell r="B1783" t="str">
            <v/>
          </cell>
        </row>
        <row r="1784">
          <cell r="B1784" t="str">
            <v/>
          </cell>
        </row>
        <row r="1785">
          <cell r="B1785" t="str">
            <v/>
          </cell>
        </row>
        <row r="1786">
          <cell r="B1786" t="str">
            <v/>
          </cell>
        </row>
        <row r="1787">
          <cell r="B1787" t="str">
            <v/>
          </cell>
        </row>
        <row r="1788">
          <cell r="B1788" t="str">
            <v/>
          </cell>
        </row>
        <row r="1789">
          <cell r="B1789" t="str">
            <v/>
          </cell>
        </row>
        <row r="1790">
          <cell r="B1790" t="str">
            <v/>
          </cell>
        </row>
        <row r="1791">
          <cell r="B1791" t="str">
            <v/>
          </cell>
        </row>
        <row r="1792">
          <cell r="B1792" t="str">
            <v/>
          </cell>
        </row>
        <row r="1793">
          <cell r="B1793" t="str">
            <v/>
          </cell>
        </row>
        <row r="1794">
          <cell r="B1794" t="str">
            <v/>
          </cell>
        </row>
        <row r="1795">
          <cell r="B1795" t="str">
            <v/>
          </cell>
        </row>
        <row r="1796">
          <cell r="B1796" t="str">
            <v/>
          </cell>
        </row>
        <row r="1797">
          <cell r="B1797" t="str">
            <v/>
          </cell>
        </row>
        <row r="1798">
          <cell r="B1798" t="str">
            <v/>
          </cell>
        </row>
        <row r="1799">
          <cell r="B1799" t="str">
            <v/>
          </cell>
        </row>
        <row r="1800">
          <cell r="B1800" t="str">
            <v/>
          </cell>
        </row>
        <row r="1801">
          <cell r="B1801" t="str">
            <v/>
          </cell>
        </row>
        <row r="1802">
          <cell r="B1802" t="str">
            <v/>
          </cell>
        </row>
        <row r="1803">
          <cell r="B1803" t="str">
            <v/>
          </cell>
        </row>
        <row r="1804">
          <cell r="B1804" t="str">
            <v/>
          </cell>
        </row>
        <row r="1805">
          <cell r="B1805" t="str">
            <v/>
          </cell>
        </row>
        <row r="1806">
          <cell r="B1806" t="str">
            <v/>
          </cell>
        </row>
        <row r="1807">
          <cell r="B1807" t="str">
            <v/>
          </cell>
        </row>
        <row r="1808">
          <cell r="B1808" t="str">
            <v/>
          </cell>
        </row>
        <row r="1809">
          <cell r="B1809" t="str">
            <v/>
          </cell>
        </row>
        <row r="1810">
          <cell r="B1810" t="str">
            <v/>
          </cell>
        </row>
        <row r="1811">
          <cell r="B1811" t="str">
            <v/>
          </cell>
        </row>
        <row r="1812">
          <cell r="B1812" t="str">
            <v/>
          </cell>
        </row>
        <row r="1813">
          <cell r="B1813" t="str">
            <v/>
          </cell>
        </row>
        <row r="1814">
          <cell r="B1814" t="str">
            <v/>
          </cell>
        </row>
        <row r="1815">
          <cell r="B1815" t="str">
            <v/>
          </cell>
        </row>
        <row r="1816">
          <cell r="B1816" t="str">
            <v/>
          </cell>
        </row>
        <row r="1817">
          <cell r="B1817" t="str">
            <v/>
          </cell>
        </row>
        <row r="1818">
          <cell r="B1818" t="str">
            <v/>
          </cell>
        </row>
        <row r="1819">
          <cell r="B1819" t="str">
            <v/>
          </cell>
        </row>
        <row r="1820">
          <cell r="B1820" t="str">
            <v/>
          </cell>
        </row>
        <row r="1821">
          <cell r="B1821" t="str">
            <v/>
          </cell>
        </row>
        <row r="1822">
          <cell r="B1822" t="str">
            <v/>
          </cell>
        </row>
        <row r="1823">
          <cell r="B1823" t="str">
            <v/>
          </cell>
        </row>
        <row r="1824">
          <cell r="B1824" t="str">
            <v/>
          </cell>
        </row>
        <row r="1825">
          <cell r="B1825" t="str">
            <v/>
          </cell>
        </row>
        <row r="1826">
          <cell r="B1826" t="str">
            <v/>
          </cell>
        </row>
        <row r="1827">
          <cell r="B1827" t="str">
            <v/>
          </cell>
        </row>
        <row r="1828">
          <cell r="B1828" t="str">
            <v/>
          </cell>
        </row>
        <row r="1829">
          <cell r="B1829" t="str">
            <v/>
          </cell>
        </row>
        <row r="1830">
          <cell r="B1830" t="str">
            <v/>
          </cell>
        </row>
        <row r="1831">
          <cell r="B1831" t="str">
            <v/>
          </cell>
        </row>
        <row r="1832">
          <cell r="B1832" t="str">
            <v/>
          </cell>
        </row>
        <row r="1833">
          <cell r="B1833" t="str">
            <v/>
          </cell>
        </row>
        <row r="1834">
          <cell r="B1834" t="str">
            <v/>
          </cell>
        </row>
        <row r="1835">
          <cell r="B1835" t="str">
            <v/>
          </cell>
        </row>
        <row r="1836">
          <cell r="B1836" t="str">
            <v/>
          </cell>
        </row>
        <row r="1837">
          <cell r="B1837" t="str">
            <v/>
          </cell>
        </row>
        <row r="1838">
          <cell r="B1838" t="str">
            <v/>
          </cell>
        </row>
        <row r="1839">
          <cell r="B1839" t="str">
            <v/>
          </cell>
        </row>
        <row r="1840">
          <cell r="B1840" t="str">
            <v/>
          </cell>
        </row>
        <row r="1841">
          <cell r="B1841" t="str">
            <v/>
          </cell>
        </row>
        <row r="1842">
          <cell r="B1842" t="str">
            <v/>
          </cell>
        </row>
        <row r="1843">
          <cell r="B1843" t="str">
            <v/>
          </cell>
        </row>
        <row r="1844">
          <cell r="B1844" t="str">
            <v/>
          </cell>
        </row>
        <row r="1845">
          <cell r="B1845" t="str">
            <v/>
          </cell>
        </row>
        <row r="1846">
          <cell r="B1846" t="str">
            <v/>
          </cell>
        </row>
        <row r="1847">
          <cell r="B1847" t="str">
            <v/>
          </cell>
        </row>
        <row r="1848">
          <cell r="B1848" t="str">
            <v/>
          </cell>
        </row>
        <row r="1849">
          <cell r="B1849" t="str">
            <v/>
          </cell>
        </row>
        <row r="1850">
          <cell r="B1850" t="str">
            <v/>
          </cell>
        </row>
        <row r="1851">
          <cell r="B1851" t="str">
            <v/>
          </cell>
        </row>
        <row r="1852">
          <cell r="B1852" t="str">
            <v/>
          </cell>
        </row>
        <row r="1853">
          <cell r="B1853" t="str">
            <v/>
          </cell>
        </row>
        <row r="1854">
          <cell r="B1854" t="str">
            <v/>
          </cell>
        </row>
        <row r="1855">
          <cell r="B1855" t="str">
            <v/>
          </cell>
        </row>
        <row r="1856">
          <cell r="B1856" t="str">
            <v/>
          </cell>
        </row>
        <row r="1857">
          <cell r="B1857" t="str">
            <v/>
          </cell>
        </row>
        <row r="1858">
          <cell r="B1858" t="str">
            <v/>
          </cell>
        </row>
        <row r="1859">
          <cell r="B1859" t="str">
            <v/>
          </cell>
        </row>
        <row r="1860">
          <cell r="B1860" t="str">
            <v/>
          </cell>
        </row>
        <row r="1861">
          <cell r="B1861" t="str">
            <v/>
          </cell>
        </row>
        <row r="1862">
          <cell r="B1862" t="str">
            <v/>
          </cell>
        </row>
        <row r="1863">
          <cell r="B1863" t="str">
            <v/>
          </cell>
        </row>
        <row r="1864">
          <cell r="B1864" t="str">
            <v/>
          </cell>
        </row>
        <row r="1865">
          <cell r="B1865" t="str">
            <v/>
          </cell>
        </row>
        <row r="1866">
          <cell r="B1866" t="str">
            <v/>
          </cell>
        </row>
        <row r="1867">
          <cell r="B1867" t="str">
            <v/>
          </cell>
        </row>
        <row r="1868">
          <cell r="B1868" t="str">
            <v/>
          </cell>
        </row>
        <row r="1869">
          <cell r="B1869" t="str">
            <v/>
          </cell>
        </row>
        <row r="1870">
          <cell r="B1870" t="str">
            <v/>
          </cell>
        </row>
        <row r="1871">
          <cell r="B1871" t="str">
            <v/>
          </cell>
        </row>
        <row r="1872">
          <cell r="B1872" t="str">
            <v/>
          </cell>
        </row>
        <row r="1873">
          <cell r="B1873" t="str">
            <v/>
          </cell>
        </row>
        <row r="1874">
          <cell r="B1874" t="str">
            <v/>
          </cell>
        </row>
        <row r="1875">
          <cell r="B1875" t="str">
            <v/>
          </cell>
        </row>
        <row r="1876">
          <cell r="B1876" t="str">
            <v/>
          </cell>
        </row>
        <row r="1877">
          <cell r="B1877" t="str">
            <v/>
          </cell>
        </row>
        <row r="1878">
          <cell r="B1878" t="str">
            <v/>
          </cell>
        </row>
        <row r="1879">
          <cell r="B1879" t="str">
            <v/>
          </cell>
        </row>
        <row r="1880">
          <cell r="B1880" t="str">
            <v/>
          </cell>
        </row>
        <row r="1881">
          <cell r="B1881" t="str">
            <v/>
          </cell>
        </row>
        <row r="1882">
          <cell r="B1882" t="str">
            <v/>
          </cell>
        </row>
        <row r="1883">
          <cell r="B1883" t="str">
            <v/>
          </cell>
        </row>
        <row r="1884">
          <cell r="B1884" t="str">
            <v/>
          </cell>
        </row>
        <row r="1885">
          <cell r="B1885" t="str">
            <v/>
          </cell>
        </row>
        <row r="1886">
          <cell r="B1886" t="str">
            <v/>
          </cell>
        </row>
        <row r="1887">
          <cell r="B1887" t="str">
            <v/>
          </cell>
        </row>
        <row r="1888">
          <cell r="B1888" t="str">
            <v/>
          </cell>
        </row>
        <row r="1889">
          <cell r="B1889" t="str">
            <v/>
          </cell>
        </row>
        <row r="1890">
          <cell r="B1890" t="str">
            <v/>
          </cell>
        </row>
        <row r="1891">
          <cell r="B1891" t="str">
            <v/>
          </cell>
        </row>
        <row r="1892">
          <cell r="B1892" t="str">
            <v/>
          </cell>
        </row>
        <row r="1893">
          <cell r="B1893" t="str">
            <v/>
          </cell>
        </row>
        <row r="1894">
          <cell r="B1894" t="str">
            <v/>
          </cell>
        </row>
        <row r="1895">
          <cell r="B1895" t="str">
            <v/>
          </cell>
        </row>
        <row r="1896">
          <cell r="B1896" t="str">
            <v/>
          </cell>
        </row>
        <row r="1897">
          <cell r="B1897" t="str">
            <v/>
          </cell>
        </row>
        <row r="1898">
          <cell r="B1898" t="str">
            <v/>
          </cell>
        </row>
        <row r="1899">
          <cell r="B1899" t="str">
            <v/>
          </cell>
        </row>
        <row r="1900">
          <cell r="B1900" t="str">
            <v/>
          </cell>
        </row>
        <row r="1901">
          <cell r="B1901" t="str">
            <v/>
          </cell>
        </row>
        <row r="1902">
          <cell r="B1902" t="str">
            <v/>
          </cell>
        </row>
        <row r="1903">
          <cell r="B1903" t="str">
            <v/>
          </cell>
        </row>
        <row r="1904">
          <cell r="B1904" t="str">
            <v/>
          </cell>
        </row>
        <row r="1905">
          <cell r="B1905" t="str">
            <v/>
          </cell>
        </row>
        <row r="1906">
          <cell r="B1906" t="str">
            <v/>
          </cell>
        </row>
        <row r="1907">
          <cell r="B1907" t="str">
            <v/>
          </cell>
        </row>
        <row r="1908">
          <cell r="B1908" t="str">
            <v/>
          </cell>
        </row>
        <row r="1909">
          <cell r="B1909" t="str">
            <v/>
          </cell>
        </row>
        <row r="1910">
          <cell r="B1910" t="str">
            <v/>
          </cell>
        </row>
        <row r="1911">
          <cell r="B1911" t="str">
            <v/>
          </cell>
        </row>
        <row r="1912">
          <cell r="B1912" t="str">
            <v/>
          </cell>
        </row>
        <row r="1913">
          <cell r="B1913" t="str">
            <v/>
          </cell>
        </row>
        <row r="1914">
          <cell r="B1914" t="str">
            <v/>
          </cell>
        </row>
        <row r="1915">
          <cell r="B1915" t="str">
            <v/>
          </cell>
        </row>
        <row r="1916">
          <cell r="B1916" t="str">
            <v/>
          </cell>
        </row>
        <row r="1917">
          <cell r="B1917" t="str">
            <v/>
          </cell>
        </row>
        <row r="1918">
          <cell r="B1918" t="str">
            <v/>
          </cell>
        </row>
        <row r="1919">
          <cell r="B1919" t="str">
            <v/>
          </cell>
        </row>
        <row r="1920">
          <cell r="B1920" t="str">
            <v/>
          </cell>
        </row>
        <row r="1921">
          <cell r="B1921" t="str">
            <v/>
          </cell>
        </row>
        <row r="1922">
          <cell r="B1922" t="str">
            <v/>
          </cell>
        </row>
        <row r="1923">
          <cell r="B1923" t="str">
            <v/>
          </cell>
        </row>
        <row r="1924">
          <cell r="B1924" t="str">
            <v/>
          </cell>
        </row>
        <row r="1925">
          <cell r="B1925" t="str">
            <v/>
          </cell>
        </row>
        <row r="1926">
          <cell r="B1926" t="str">
            <v/>
          </cell>
        </row>
        <row r="1927">
          <cell r="B1927" t="str">
            <v/>
          </cell>
        </row>
        <row r="1928">
          <cell r="B1928" t="str">
            <v/>
          </cell>
        </row>
        <row r="1929">
          <cell r="B1929" t="str">
            <v/>
          </cell>
        </row>
        <row r="1930">
          <cell r="B1930" t="str">
            <v/>
          </cell>
        </row>
        <row r="1931">
          <cell r="B1931" t="str">
            <v/>
          </cell>
        </row>
        <row r="1932">
          <cell r="B1932" t="str">
            <v/>
          </cell>
        </row>
        <row r="1933">
          <cell r="B1933" t="str">
            <v/>
          </cell>
        </row>
        <row r="1934">
          <cell r="B1934" t="str">
            <v/>
          </cell>
        </row>
        <row r="1935">
          <cell r="B1935" t="str">
            <v/>
          </cell>
        </row>
        <row r="1936">
          <cell r="B1936" t="str">
            <v/>
          </cell>
        </row>
        <row r="1937">
          <cell r="B1937" t="str">
            <v/>
          </cell>
        </row>
        <row r="1938">
          <cell r="B1938" t="str">
            <v/>
          </cell>
        </row>
        <row r="1939">
          <cell r="B1939" t="str">
            <v/>
          </cell>
        </row>
        <row r="1940">
          <cell r="B1940" t="str">
            <v/>
          </cell>
        </row>
        <row r="1941">
          <cell r="B1941" t="str">
            <v/>
          </cell>
        </row>
        <row r="1942">
          <cell r="B1942" t="str">
            <v/>
          </cell>
        </row>
        <row r="1943">
          <cell r="B1943" t="str">
            <v/>
          </cell>
        </row>
        <row r="1944">
          <cell r="B1944" t="str">
            <v/>
          </cell>
        </row>
        <row r="1945">
          <cell r="B1945" t="str">
            <v/>
          </cell>
        </row>
        <row r="1946">
          <cell r="B1946" t="str">
            <v/>
          </cell>
        </row>
        <row r="1947">
          <cell r="B1947" t="str">
            <v/>
          </cell>
        </row>
        <row r="1948">
          <cell r="B1948" t="str">
            <v/>
          </cell>
        </row>
        <row r="1949">
          <cell r="B1949" t="str">
            <v/>
          </cell>
        </row>
        <row r="1950">
          <cell r="B1950" t="str">
            <v/>
          </cell>
        </row>
        <row r="1951">
          <cell r="B1951" t="str">
            <v/>
          </cell>
        </row>
        <row r="1952">
          <cell r="B1952" t="str">
            <v/>
          </cell>
        </row>
        <row r="1953">
          <cell r="B1953" t="str">
            <v/>
          </cell>
        </row>
        <row r="1954">
          <cell r="B1954" t="str">
            <v/>
          </cell>
        </row>
        <row r="1955">
          <cell r="B1955" t="str">
            <v/>
          </cell>
        </row>
        <row r="1956">
          <cell r="B1956" t="str">
            <v/>
          </cell>
        </row>
        <row r="1957">
          <cell r="B1957" t="str">
            <v/>
          </cell>
        </row>
        <row r="1958">
          <cell r="B1958" t="str">
            <v/>
          </cell>
        </row>
        <row r="1959">
          <cell r="B1959" t="str">
            <v/>
          </cell>
        </row>
        <row r="1960">
          <cell r="B1960" t="str">
            <v/>
          </cell>
        </row>
        <row r="1961">
          <cell r="B1961" t="str">
            <v/>
          </cell>
        </row>
        <row r="1962">
          <cell r="B1962" t="str">
            <v/>
          </cell>
        </row>
        <row r="1963">
          <cell r="B1963" t="str">
            <v/>
          </cell>
        </row>
        <row r="1964">
          <cell r="B1964" t="str">
            <v/>
          </cell>
        </row>
        <row r="1965">
          <cell r="B1965" t="str">
            <v/>
          </cell>
        </row>
        <row r="1966">
          <cell r="B1966" t="str">
            <v/>
          </cell>
        </row>
        <row r="1967">
          <cell r="B1967" t="str">
            <v/>
          </cell>
        </row>
        <row r="1968">
          <cell r="B1968" t="str">
            <v/>
          </cell>
        </row>
        <row r="1969">
          <cell r="B1969" t="str">
            <v/>
          </cell>
        </row>
        <row r="1970">
          <cell r="B1970" t="str">
            <v/>
          </cell>
        </row>
        <row r="1971">
          <cell r="B1971" t="str">
            <v/>
          </cell>
        </row>
        <row r="1972">
          <cell r="B1972" t="str">
            <v/>
          </cell>
        </row>
        <row r="1973">
          <cell r="B1973" t="str">
            <v/>
          </cell>
        </row>
        <row r="1974">
          <cell r="B1974" t="str">
            <v/>
          </cell>
        </row>
        <row r="1975">
          <cell r="B1975" t="str">
            <v/>
          </cell>
        </row>
        <row r="1976">
          <cell r="B1976" t="str">
            <v/>
          </cell>
        </row>
        <row r="1977">
          <cell r="B1977" t="str">
            <v/>
          </cell>
        </row>
        <row r="1978">
          <cell r="B1978" t="str">
            <v/>
          </cell>
        </row>
        <row r="1979">
          <cell r="B1979" t="str">
            <v/>
          </cell>
        </row>
        <row r="1980">
          <cell r="B1980" t="str">
            <v/>
          </cell>
        </row>
        <row r="1981">
          <cell r="B1981" t="str">
            <v/>
          </cell>
        </row>
        <row r="1982">
          <cell r="B1982" t="str">
            <v/>
          </cell>
        </row>
        <row r="1983">
          <cell r="B1983" t="str">
            <v/>
          </cell>
        </row>
        <row r="1984">
          <cell r="B1984" t="str">
            <v/>
          </cell>
        </row>
        <row r="1985">
          <cell r="B1985" t="str">
            <v/>
          </cell>
        </row>
        <row r="1986">
          <cell r="B1986" t="str">
            <v/>
          </cell>
        </row>
        <row r="1987">
          <cell r="B1987" t="str">
            <v/>
          </cell>
        </row>
        <row r="1988">
          <cell r="B1988" t="str">
            <v/>
          </cell>
        </row>
        <row r="1989">
          <cell r="B1989" t="str">
            <v/>
          </cell>
        </row>
        <row r="1990">
          <cell r="B1990" t="str">
            <v/>
          </cell>
        </row>
        <row r="1991">
          <cell r="B1991" t="str">
            <v/>
          </cell>
        </row>
        <row r="1992">
          <cell r="B1992" t="str">
            <v/>
          </cell>
        </row>
        <row r="1993">
          <cell r="B1993" t="str">
            <v/>
          </cell>
        </row>
        <row r="1994">
          <cell r="B1994" t="str">
            <v/>
          </cell>
        </row>
        <row r="1995">
          <cell r="B1995" t="str">
            <v/>
          </cell>
        </row>
        <row r="1996">
          <cell r="B1996" t="str">
            <v/>
          </cell>
        </row>
        <row r="1997">
          <cell r="B1997" t="str">
            <v/>
          </cell>
        </row>
        <row r="1998">
          <cell r="B1998" t="str">
            <v/>
          </cell>
        </row>
        <row r="1999">
          <cell r="B1999" t="str">
            <v/>
          </cell>
        </row>
        <row r="2000">
          <cell r="B2000" t="str">
            <v/>
          </cell>
        </row>
        <row r="2001">
          <cell r="B2001" t="str">
            <v/>
          </cell>
        </row>
        <row r="2002">
          <cell r="B2002" t="str">
            <v/>
          </cell>
        </row>
        <row r="2003">
          <cell r="B2003" t="str">
            <v/>
          </cell>
        </row>
        <row r="2004">
          <cell r="B2004" t="str">
            <v/>
          </cell>
        </row>
        <row r="2005">
          <cell r="B2005" t="str">
            <v/>
          </cell>
        </row>
        <row r="2006">
          <cell r="B2006" t="str">
            <v/>
          </cell>
        </row>
        <row r="2007">
          <cell r="B2007" t="str">
            <v/>
          </cell>
        </row>
        <row r="2008">
          <cell r="B2008" t="str">
            <v/>
          </cell>
        </row>
        <row r="2009">
          <cell r="B2009" t="str">
            <v/>
          </cell>
        </row>
        <row r="2010">
          <cell r="B2010" t="str">
            <v/>
          </cell>
        </row>
        <row r="2011">
          <cell r="B2011" t="str">
            <v/>
          </cell>
        </row>
        <row r="2012">
          <cell r="B2012" t="str">
            <v/>
          </cell>
        </row>
        <row r="2013">
          <cell r="B2013" t="str">
            <v/>
          </cell>
        </row>
        <row r="2014">
          <cell r="B2014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ntificación"/>
      <sheetName val="Proyecto Inversión"/>
      <sheetName val="Características Físicas"/>
      <sheetName val="Indicadores"/>
      <sheetName val="Cronogramas"/>
      <sheetName val="Financiamiento"/>
      <sheetName val="Usuarios"/>
      <sheetName val="Materiales"/>
      <sheetName val="Bienes y Servicios"/>
      <sheetName val="Listado Materiales"/>
      <sheetName val="Formulas"/>
      <sheetName val="Mesajes de Error"/>
      <sheetName val="Catálogos"/>
      <sheetName val="CODPARROQUIA"/>
      <sheetName val="FORMULARIO DE PLAN DE INVER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Y10" t="str">
            <v>Adquisición de bienes Muebles para mejora de atención a usuarios</v>
          </cell>
        </row>
      </sheetData>
      <sheetData sheetId="12">
        <row r="10">
          <cell r="Y10" t="str">
            <v>Adquisición de bienes Muebles para mejora de atención a usuarios</v>
          </cell>
        </row>
        <row r="11">
          <cell r="Y11" t="str">
            <v>Adquisición de grúas, carro canasta y vehículos de trabajo</v>
          </cell>
        </row>
        <row r="12">
          <cell r="Y12" t="str">
            <v>Cambio de redes desnudas a preensambladas o antihurto</v>
          </cell>
        </row>
        <row r="13">
          <cell r="Y13" t="str">
            <v>Construcción de inmuebles (Agencias, centros de atención y demás)</v>
          </cell>
        </row>
        <row r="14">
          <cell r="Y14" t="str">
            <v>Construcción de nuevas redes en media tensión</v>
          </cell>
        </row>
        <row r="15">
          <cell r="Y15" t="str">
            <v>Construcción e implementación de mini, micro y pico centrales hidroeléctricas.</v>
          </cell>
        </row>
        <row r="16">
          <cell r="Y16" t="str">
            <v>Construcción e implementación de nuevas líneas de subtransmisión</v>
          </cell>
        </row>
        <row r="17">
          <cell r="Y17" t="str">
            <v>Construcción e implementación de nuevas redes en baja tensión</v>
          </cell>
        </row>
        <row r="18">
          <cell r="Y18" t="str">
            <v>Construcción e implementación de nuevas redes en baja y media tensión</v>
          </cell>
        </row>
        <row r="19">
          <cell r="Y19" t="str">
            <v>Construcción e implementación de nuevas subestaciones</v>
          </cell>
        </row>
        <row r="20">
          <cell r="Y20" t="str">
            <v>Construcción e implementación de Sistemas híbridos nuevos y microred</v>
          </cell>
        </row>
        <row r="21">
          <cell r="Y21" t="str">
            <v>Depuración de catastros</v>
          </cell>
        </row>
        <row r="22">
          <cell r="Y22" t="str">
            <v>Elaboración de estudios y diseños de preinversión para la construcción de líneas de subtransmisión</v>
          </cell>
        </row>
        <row r="23">
          <cell r="Y23" t="str">
            <v>Elaboración de estudios y diseños de preinversión para la construcción de redes en baja tensión</v>
          </cell>
        </row>
        <row r="24">
          <cell r="Y24" t="str">
            <v>Elaboración de estudios y diseños de preinversión para la construcción de redes en media tensión</v>
          </cell>
        </row>
        <row r="25">
          <cell r="Y25" t="str">
            <v>Elaboración de estudios y diseños de preinversión para la construcción de subestaciones</v>
          </cell>
        </row>
        <row r="26">
          <cell r="Y26" t="str">
            <v>Elaboración de estudios y diseños de preinversión para mini, micro y pico centrales hidroeléctricas</v>
          </cell>
        </row>
        <row r="27">
          <cell r="Y27" t="str">
            <v>Elaboración de estudios y diseños de preinversión para nuevos sistemas fotovoltaicos</v>
          </cell>
        </row>
        <row r="28">
          <cell r="Y28" t="str">
            <v>Elaboración de estudios y diseños de preinversión para sistemas híbridos</v>
          </cell>
        </row>
        <row r="29">
          <cell r="Y29" t="str">
            <v>Gestión de Trafos para disminución de pérdidas técnicas</v>
          </cell>
        </row>
        <row r="30">
          <cell r="Y30" t="str">
            <v>Implementacion de Bancos de Capacitores</v>
          </cell>
        </row>
        <row r="31">
          <cell r="Y31" t="str">
            <v>Implementación de equipos de corte, maniobra, operación y monitoreo para redes de distribución</v>
          </cell>
        </row>
        <row r="32">
          <cell r="Y32" t="str">
            <v>Implementación de equipos de maniobra, operación y monitoreo en subestaciones</v>
          </cell>
        </row>
        <row r="33">
          <cell r="Y33" t="str">
            <v>Implementación de hadware y software, relacionado al proyecto SIGDE</v>
          </cell>
        </row>
        <row r="34">
          <cell r="Y34" t="str">
            <v>Implementación de nuevos sistemas fotovoltaicos</v>
          </cell>
        </row>
        <row r="35">
          <cell r="Y35" t="str">
            <v>Implementación de nuevos transformadores</v>
          </cell>
        </row>
        <row r="36">
          <cell r="Y36" t="str">
            <v>Implementación de otros equipos de medición</v>
          </cell>
        </row>
        <row r="37">
          <cell r="Y37" t="str">
            <v>Implementacion de Reguladores de Voltaje</v>
          </cell>
        </row>
        <row r="38">
          <cell r="Y38" t="str">
            <v>Instalación de acometidas MT y/o BT, clientes nuevos por crecimiento</v>
          </cell>
        </row>
        <row r="39">
          <cell r="Y39" t="str">
            <v>Instalación de medidores, clientes nuevos</v>
          </cell>
        </row>
        <row r="40">
          <cell r="Y40" t="str">
            <v>Levantamiento y actualización de información georeferenciada</v>
          </cell>
        </row>
        <row r="41">
          <cell r="Y41" t="str">
            <v>Reconfiguración de redes en baja tensión</v>
          </cell>
        </row>
        <row r="42">
          <cell r="Y42" t="str">
            <v>Reconfiguración de redes en media tensión</v>
          </cell>
        </row>
        <row r="43">
          <cell r="Y43" t="str">
            <v>Remodelación de líneas de subtransmisión</v>
          </cell>
        </row>
        <row r="44">
          <cell r="Y44" t="str">
            <v>Remodelación de mini, micro y pico centrales hidroeléctricas</v>
          </cell>
        </row>
        <row r="45">
          <cell r="Y45" t="str">
            <v>Remodelación de redes en baja tensión</v>
          </cell>
        </row>
        <row r="46">
          <cell r="Y46" t="str">
            <v>Remodelación de redes en media tensión</v>
          </cell>
        </row>
        <row r="47">
          <cell r="Y47" t="str">
            <v>Remodelación de subestaciones</v>
          </cell>
        </row>
        <row r="48">
          <cell r="Y48" t="str">
            <v>Repotenciación de líneas de subtransmisión</v>
          </cell>
        </row>
        <row r="49">
          <cell r="Y49" t="str">
            <v>Repotenciación de Mini, micro y pico centrales hidroeléctricas</v>
          </cell>
        </row>
        <row r="50">
          <cell r="Y50" t="str">
            <v>Repotenciación de redes en baja tensión</v>
          </cell>
        </row>
        <row r="51">
          <cell r="Y51" t="str">
            <v>Repotenciación de redes en media tensión</v>
          </cell>
        </row>
        <row r="52">
          <cell r="Y52" t="str">
            <v>Repotenciación de sistemas fotovoltaicos</v>
          </cell>
        </row>
        <row r="53">
          <cell r="Y53" t="str">
            <v>Repotenciación de subestaciones</v>
          </cell>
        </row>
        <row r="54">
          <cell r="Y54" t="str">
            <v>Reubicación de equipos de medición y/o acometidas MT y/o BT</v>
          </cell>
        </row>
        <row r="55">
          <cell r="Y55" t="str">
            <v>Reubicación de sistemas fotovoltaicos</v>
          </cell>
        </row>
      </sheetData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_Gener"/>
      <sheetName val="Factor de nodo"/>
      <sheetName val="Embalses"/>
      <sheetName val="Energia Media"/>
      <sheetName val="Energia Sem"/>
      <sheetName val="Energia Sec"/>
      <sheetName val="Hoja2"/>
      <sheetName val="Hoja3"/>
      <sheetName val="Resumen"/>
    </sheetNames>
    <sheetDataSet>
      <sheetData sheetId="0" refreshError="1"/>
      <sheetData sheetId="1" refreshError="1"/>
      <sheetData sheetId="2" refreshError="1">
        <row r="6">
          <cell r="P6" t="str">
            <v>CENTRO NACIONAL DE CONTROL DE ENERGÌA</v>
          </cell>
        </row>
        <row r="7">
          <cell r="P7" t="str">
            <v>DIRECCION DE PLANEAMIENTO</v>
          </cell>
        </row>
        <row r="8">
          <cell r="P8" t="str">
            <v>PROGRAMA DE OPERACION DEL MEM OCTUBRE/1999-SEPTIEMBRE/2000</v>
          </cell>
        </row>
        <row r="9">
          <cell r="Y9" t="str">
            <v>CUADRO No. 10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os"/>
      <sheetName val="dist-frec"/>
      <sheetName val="norte"/>
      <sheetName val="quito"/>
      <sheetName val="cotopaxi"/>
      <sheetName val="ambato"/>
      <sheetName val="riobamba"/>
      <sheetName val="bolivar"/>
      <sheetName val="azogues"/>
      <sheetName val="centrosur"/>
      <sheetName val="sur"/>
      <sheetName val="sucumbios"/>
      <sheetName val="resumen e.e."/>
      <sheetName val="proyeccion"/>
      <sheetName val="proyeccion (2)"/>
      <sheetName val="proyeccion (3)"/>
      <sheetName val="proyeccion (4)"/>
    </sheetNames>
    <sheetDataSet>
      <sheetData sheetId="0"/>
      <sheetData sheetId="1"/>
      <sheetData sheetId="2" refreshError="1">
        <row r="2">
          <cell r="G2" t="str">
            <v>DICIEMBRE/98</v>
          </cell>
          <cell r="N2" t="str">
            <v>CONELEC</v>
          </cell>
        </row>
        <row r="3">
          <cell r="N3" t="str">
            <v>DIRECCION DE TARIFAS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os"/>
      <sheetName val="dist-frec"/>
      <sheetName val="norte"/>
      <sheetName val="quito"/>
      <sheetName val="cotopaxi"/>
      <sheetName val="ambato"/>
      <sheetName val="riobamba"/>
      <sheetName val="bolivar"/>
      <sheetName val="azogues"/>
      <sheetName val="centrosur"/>
      <sheetName val="sur"/>
      <sheetName val="sucumbios"/>
      <sheetName val="resumen e.e."/>
      <sheetName val="proyeccion"/>
    </sheetNames>
    <sheetDataSet>
      <sheetData sheetId="0"/>
      <sheetData sheetId="1"/>
      <sheetData sheetId="2" refreshError="1">
        <row r="2">
          <cell r="N2" t="str">
            <v>CONELEC</v>
          </cell>
        </row>
        <row r="3">
          <cell r="N3" t="str">
            <v>DIRECCION DE TARIFAS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4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48"/>
  <sheetViews>
    <sheetView view="pageBreakPreview" zoomScale="120" zoomScaleNormal="110" zoomScaleSheetLayoutView="120" workbookViewId="0">
      <selection activeCell="B4" sqref="B4"/>
    </sheetView>
  </sheetViews>
  <sheetFormatPr baseColWidth="10" defaultColWidth="11.42578125" defaultRowHeight="12.75" x14ac:dyDescent="0.2"/>
  <cols>
    <col min="1" max="1" width="20.85546875" style="110" customWidth="1"/>
    <col min="2" max="2" width="20" style="110" customWidth="1"/>
    <col min="3" max="3" width="5.42578125" style="110" customWidth="1"/>
    <col min="4" max="4" width="24.42578125" style="110" customWidth="1"/>
    <col min="5" max="5" width="17.5703125" style="110" customWidth="1"/>
    <col min="6" max="8" width="11.42578125" style="98" customWidth="1"/>
    <col min="9" max="15" width="11.42578125" style="98" hidden="1" customWidth="1"/>
    <col min="16" max="16" width="17.85546875" style="98" hidden="1" customWidth="1"/>
    <col min="17" max="17" width="19.85546875" style="98" hidden="1" customWidth="1"/>
    <col min="18" max="20" width="10.85546875" style="98" hidden="1" customWidth="1"/>
    <col min="21" max="21" width="30" style="98" hidden="1" customWidth="1"/>
    <col min="22" max="22" width="10.85546875" style="98" hidden="1" customWidth="1"/>
    <col min="23" max="23" width="13.85546875" style="98" hidden="1" customWidth="1"/>
    <col min="24" max="24" width="16" style="98" hidden="1" customWidth="1"/>
    <col min="25" max="26" width="10.85546875" style="98" hidden="1" customWidth="1"/>
    <col min="27" max="27" width="13" style="98" hidden="1" customWidth="1"/>
    <col min="28" max="28" width="13.85546875" style="98" hidden="1" customWidth="1"/>
    <col min="29" max="29" width="12" style="98" hidden="1" customWidth="1"/>
    <col min="30" max="31" width="10.85546875" style="98" hidden="1" customWidth="1"/>
    <col min="32" max="32" width="16.140625" style="98" hidden="1" customWidth="1"/>
    <col min="33" max="33" width="21.7109375" style="98" hidden="1" customWidth="1"/>
    <col min="34" max="34" width="15" style="98" hidden="1" customWidth="1"/>
    <col min="35" max="36" width="11.42578125" style="98" hidden="1" customWidth="1"/>
    <col min="37" max="41" width="11.42578125" style="98" customWidth="1"/>
    <col min="42" max="16384" width="11.42578125" style="98"/>
  </cols>
  <sheetData>
    <row r="1" spans="1:34" ht="48.75" customHeight="1" x14ac:dyDescent="0.25">
      <c r="A1" s="231" t="s">
        <v>786</v>
      </c>
      <c r="B1" s="667" t="s">
        <v>785</v>
      </c>
      <c r="C1" s="667"/>
      <c r="D1" s="667"/>
      <c r="E1" s="668"/>
    </row>
    <row r="2" spans="1:34" ht="13.5" thickBot="1" x14ac:dyDescent="0.25">
      <c r="A2" s="660" t="s">
        <v>1136</v>
      </c>
      <c r="B2" s="661"/>
      <c r="C2" s="661"/>
      <c r="D2" s="661"/>
      <c r="E2" s="662"/>
    </row>
    <row r="3" spans="1:34" ht="12.75" customHeight="1" thickBot="1" x14ac:dyDescent="0.25">
      <c r="A3" s="94"/>
      <c r="B3" s="6"/>
      <c r="C3" s="6"/>
      <c r="D3" s="6"/>
      <c r="E3" s="99"/>
      <c r="I3" s="98">
        <v>50</v>
      </c>
      <c r="K3" s="100" t="s">
        <v>0</v>
      </c>
      <c r="L3" s="101" t="s">
        <v>1</v>
      </c>
      <c r="M3" s="101" t="s">
        <v>2</v>
      </c>
      <c r="O3" s="101" t="s">
        <v>7</v>
      </c>
      <c r="Q3" s="155" t="s">
        <v>401</v>
      </c>
      <c r="R3" s="158" t="s">
        <v>413</v>
      </c>
      <c r="S3" s="156" t="s">
        <v>402</v>
      </c>
      <c r="T3" s="156" t="s">
        <v>408</v>
      </c>
      <c r="U3" s="156" t="s">
        <v>407</v>
      </c>
      <c r="V3" s="156" t="s">
        <v>412</v>
      </c>
      <c r="W3" s="156" t="s">
        <v>397</v>
      </c>
      <c r="X3" s="156" t="s">
        <v>398</v>
      </c>
      <c r="Y3" s="156" t="s">
        <v>400</v>
      </c>
      <c r="Z3" s="156" t="s">
        <v>403</v>
      </c>
      <c r="AA3" s="156" t="s">
        <v>410</v>
      </c>
      <c r="AB3" s="156" t="s">
        <v>396</v>
      </c>
      <c r="AC3" s="156" t="s">
        <v>404</v>
      </c>
      <c r="AD3" s="156" t="s">
        <v>411</v>
      </c>
      <c r="AE3" s="156" t="s">
        <v>406</v>
      </c>
      <c r="AF3" s="156" t="s">
        <v>399</v>
      </c>
      <c r="AG3" s="156" t="s">
        <v>405</v>
      </c>
      <c r="AH3" s="157" t="s">
        <v>409</v>
      </c>
    </row>
    <row r="4" spans="1:34" ht="12.75" customHeight="1" thickBot="1" x14ac:dyDescent="0.25">
      <c r="A4" s="93" t="s">
        <v>4</v>
      </c>
      <c r="B4" s="102">
        <v>43025</v>
      </c>
      <c r="C4" s="3"/>
      <c r="D4" s="4" t="s">
        <v>1137</v>
      </c>
      <c r="E4" s="663"/>
      <c r="I4" s="98">
        <v>37.5</v>
      </c>
      <c r="K4" s="103">
        <v>120</v>
      </c>
      <c r="L4" s="101" t="s">
        <v>5</v>
      </c>
      <c r="M4" s="101" t="s">
        <v>6</v>
      </c>
      <c r="O4" s="101" t="s">
        <v>3</v>
      </c>
      <c r="P4" s="159" t="str">
        <f t="shared" ref="P4:P17" si="0">LOOKUP($B$9,$Q$3:$AH$3,Q4:AH4)</f>
        <v>BOYACÁ</v>
      </c>
      <c r="Q4" s="209" t="s">
        <v>487</v>
      </c>
      <c r="R4" s="208" t="s">
        <v>491</v>
      </c>
      <c r="S4" s="207" t="s">
        <v>494</v>
      </c>
      <c r="T4" s="206" t="s">
        <v>504</v>
      </c>
      <c r="U4" s="205" t="s">
        <v>505</v>
      </c>
      <c r="V4" s="204" t="s">
        <v>516</v>
      </c>
      <c r="W4" s="203" t="s">
        <v>500</v>
      </c>
      <c r="X4" s="202" t="s">
        <v>524</v>
      </c>
      <c r="Y4" s="201" t="s">
        <v>531</v>
      </c>
      <c r="Z4" s="200" t="s">
        <v>532</v>
      </c>
      <c r="AA4" s="199" t="s">
        <v>537</v>
      </c>
      <c r="AB4" s="198" t="s">
        <v>540</v>
      </c>
      <c r="AC4" s="197" t="s">
        <v>557</v>
      </c>
      <c r="AD4" s="196" t="s">
        <v>560</v>
      </c>
      <c r="AE4" s="195" t="s">
        <v>561</v>
      </c>
      <c r="AF4" s="194" t="s">
        <v>563</v>
      </c>
      <c r="AG4" s="193" t="s">
        <v>569</v>
      </c>
      <c r="AH4" s="192" t="s">
        <v>573</v>
      </c>
    </row>
    <row r="5" spans="1:34" ht="12.75" customHeight="1" thickBot="1" x14ac:dyDescent="0.25">
      <c r="A5" s="93" t="s">
        <v>8</v>
      </c>
      <c r="B5" s="669" t="s">
        <v>1173</v>
      </c>
      <c r="C5" s="669"/>
      <c r="D5" s="669"/>
      <c r="E5" s="663"/>
      <c r="I5" s="98">
        <v>25</v>
      </c>
      <c r="L5" s="101"/>
      <c r="M5" s="101" t="s">
        <v>9</v>
      </c>
      <c r="P5" s="159" t="str">
        <f t="shared" si="0"/>
        <v>CANUTO</v>
      </c>
      <c r="Q5" s="209" t="s">
        <v>488</v>
      </c>
      <c r="R5" s="208" t="s">
        <v>492</v>
      </c>
      <c r="S5" s="207" t="s">
        <v>495</v>
      </c>
      <c r="T5" s="152"/>
      <c r="U5" s="205" t="s">
        <v>506</v>
      </c>
      <c r="V5" s="152"/>
      <c r="W5" s="203" t="s">
        <v>517</v>
      </c>
      <c r="X5" s="202" t="s">
        <v>525</v>
      </c>
      <c r="Y5" s="152"/>
      <c r="Z5" s="200" t="s">
        <v>533</v>
      </c>
      <c r="AA5" s="199" t="s">
        <v>538</v>
      </c>
      <c r="AB5" s="198" t="s">
        <v>541</v>
      </c>
      <c r="AC5" s="197" t="s">
        <v>558</v>
      </c>
      <c r="AD5" s="152"/>
      <c r="AE5" s="195" t="s">
        <v>562</v>
      </c>
      <c r="AF5" s="194" t="s">
        <v>564</v>
      </c>
      <c r="AG5" s="193" t="s">
        <v>570</v>
      </c>
      <c r="AH5" s="192" t="s">
        <v>574</v>
      </c>
    </row>
    <row r="6" spans="1:34" ht="12.75" customHeight="1" thickBot="1" x14ac:dyDescent="0.25">
      <c r="A6" s="94"/>
      <c r="B6" s="6"/>
      <c r="C6" s="6"/>
      <c r="D6" s="6"/>
      <c r="E6" s="104"/>
      <c r="I6" s="98">
        <v>15</v>
      </c>
      <c r="M6" s="101" t="s">
        <v>10</v>
      </c>
      <c r="P6" s="159" t="str">
        <f t="shared" si="0"/>
        <v>CHIBUNGA</v>
      </c>
      <c r="Q6" s="209" t="s">
        <v>489</v>
      </c>
      <c r="R6" s="208" t="s">
        <v>493</v>
      </c>
      <c r="S6" s="207" t="s">
        <v>496</v>
      </c>
      <c r="T6" s="152"/>
      <c r="U6" s="205" t="s">
        <v>507</v>
      </c>
      <c r="V6" s="152"/>
      <c r="W6" s="203" t="s">
        <v>518</v>
      </c>
      <c r="X6" s="202" t="s">
        <v>526</v>
      </c>
      <c r="Y6" s="152"/>
      <c r="Z6" s="200" t="s">
        <v>534</v>
      </c>
      <c r="AA6" s="199" t="s">
        <v>539</v>
      </c>
      <c r="AB6" s="198" t="s">
        <v>542</v>
      </c>
      <c r="AC6" s="197" t="s">
        <v>559</v>
      </c>
      <c r="AD6" s="152"/>
      <c r="AE6" s="152"/>
      <c r="AF6" s="194" t="s">
        <v>510</v>
      </c>
      <c r="AG6" s="193" t="s">
        <v>571</v>
      </c>
      <c r="AH6" s="192" t="s">
        <v>575</v>
      </c>
    </row>
    <row r="7" spans="1:34" ht="16.5" thickBot="1" x14ac:dyDescent="0.3">
      <c r="A7" s="664" t="s">
        <v>11</v>
      </c>
      <c r="B7" s="665"/>
      <c r="C7" s="665"/>
      <c r="D7" s="665"/>
      <c r="E7" s="666"/>
      <c r="I7" s="98">
        <v>10</v>
      </c>
      <c r="K7" s="101"/>
      <c r="L7" s="101" t="s">
        <v>12</v>
      </c>
      <c r="P7" s="159" t="str">
        <f t="shared" si="0"/>
        <v>CHONE</v>
      </c>
      <c r="Q7" s="209" t="s">
        <v>490</v>
      </c>
      <c r="R7" s="152"/>
      <c r="S7" s="207" t="s">
        <v>497</v>
      </c>
      <c r="T7" s="152"/>
      <c r="U7" s="205" t="s">
        <v>508</v>
      </c>
      <c r="V7" s="152"/>
      <c r="W7" s="203" t="s">
        <v>519</v>
      </c>
      <c r="X7" s="202" t="s">
        <v>527</v>
      </c>
      <c r="Y7" s="152"/>
      <c r="Z7" s="200" t="s">
        <v>535</v>
      </c>
      <c r="AA7" s="152"/>
      <c r="AB7" s="198" t="s">
        <v>543</v>
      </c>
      <c r="AC7" s="152"/>
      <c r="AD7" s="152"/>
      <c r="AE7" s="152"/>
      <c r="AF7" s="194" t="s">
        <v>565</v>
      </c>
      <c r="AG7" s="193" t="s">
        <v>572</v>
      </c>
      <c r="AH7" s="152"/>
    </row>
    <row r="8" spans="1:34" x14ac:dyDescent="0.2">
      <c r="A8" s="94"/>
      <c r="B8" s="6"/>
      <c r="C8" s="6"/>
      <c r="D8" s="6"/>
      <c r="E8" s="95"/>
      <c r="I8" s="98">
        <v>5</v>
      </c>
      <c r="K8" s="101"/>
      <c r="L8" s="101" t="s">
        <v>13</v>
      </c>
      <c r="M8" s="101" t="s">
        <v>14</v>
      </c>
      <c r="O8" s="101"/>
      <c r="P8" s="159" t="str">
        <f t="shared" si="0"/>
        <v>CHONE, CABECERA CANTONAL</v>
      </c>
      <c r="Q8" s="152"/>
      <c r="R8" s="152"/>
      <c r="S8" s="207" t="s">
        <v>498</v>
      </c>
      <c r="T8" s="152"/>
      <c r="U8" s="205" t="s">
        <v>509</v>
      </c>
      <c r="V8" s="152"/>
      <c r="W8" s="203" t="s">
        <v>520</v>
      </c>
      <c r="X8" s="202" t="s">
        <v>528</v>
      </c>
      <c r="Y8" s="152"/>
      <c r="Z8" s="200" t="s">
        <v>536</v>
      </c>
      <c r="AA8" s="152"/>
      <c r="AB8" s="198" t="s">
        <v>544</v>
      </c>
      <c r="AC8" s="152"/>
      <c r="AD8" s="152"/>
      <c r="AE8" s="152"/>
      <c r="AF8" s="194" t="s">
        <v>566</v>
      </c>
      <c r="AG8" s="152"/>
      <c r="AH8" s="152"/>
    </row>
    <row r="9" spans="1:34" x14ac:dyDescent="0.2">
      <c r="A9" s="92" t="s">
        <v>15</v>
      </c>
      <c r="B9" s="447" t="s">
        <v>402</v>
      </c>
      <c r="C9" s="477" t="s">
        <v>1089</v>
      </c>
      <c r="D9" s="3"/>
      <c r="E9" s="483">
        <v>80</v>
      </c>
      <c r="I9" s="98">
        <v>3</v>
      </c>
      <c r="K9" s="101"/>
      <c r="L9" s="101" t="s">
        <v>16</v>
      </c>
      <c r="M9" s="101" t="s">
        <v>17</v>
      </c>
      <c r="P9" s="159" t="str">
        <f t="shared" si="0"/>
        <v>CONVENTO</v>
      </c>
      <c r="Q9" s="152"/>
      <c r="R9" s="152"/>
      <c r="S9" s="207" t="s">
        <v>499</v>
      </c>
      <c r="T9" s="152"/>
      <c r="U9" s="205" t="s">
        <v>510</v>
      </c>
      <c r="V9" s="152"/>
      <c r="W9" s="203" t="s">
        <v>521</v>
      </c>
      <c r="X9" s="202" t="s">
        <v>529</v>
      </c>
      <c r="Y9" s="152"/>
      <c r="Z9" s="152"/>
      <c r="AA9" s="152"/>
      <c r="AB9" s="198" t="s">
        <v>545</v>
      </c>
      <c r="AC9" s="152"/>
      <c r="AD9" s="152"/>
      <c r="AE9" s="152"/>
      <c r="AF9" s="194" t="s">
        <v>567</v>
      </c>
      <c r="AG9" s="152"/>
      <c r="AH9" s="152"/>
    </row>
    <row r="10" spans="1:34" ht="12.75" customHeight="1" x14ac:dyDescent="0.2">
      <c r="A10" s="92" t="s">
        <v>18</v>
      </c>
      <c r="B10" s="447" t="s">
        <v>497</v>
      </c>
      <c r="C10" s="477" t="s">
        <v>1088</v>
      </c>
      <c r="E10" s="483">
        <v>1</v>
      </c>
      <c r="F10" s="670"/>
      <c r="G10" s="670"/>
      <c r="K10" s="101"/>
      <c r="L10" s="101" t="s">
        <v>20</v>
      </c>
      <c r="M10" s="101" t="s">
        <v>395</v>
      </c>
      <c r="P10" s="159" t="str">
        <f t="shared" si="0"/>
        <v>ELOY ALFARO</v>
      </c>
      <c r="Q10" s="152"/>
      <c r="R10" s="152"/>
      <c r="S10" s="207" t="s">
        <v>500</v>
      </c>
      <c r="T10" s="152"/>
      <c r="U10" s="205" t="s">
        <v>511</v>
      </c>
      <c r="V10" s="152"/>
      <c r="W10" s="203" t="s">
        <v>522</v>
      </c>
      <c r="X10" s="202" t="s">
        <v>530</v>
      </c>
      <c r="Y10" s="152"/>
      <c r="Z10" s="152"/>
      <c r="AA10" s="152"/>
      <c r="AB10" s="198" t="s">
        <v>546</v>
      </c>
      <c r="AC10" s="152"/>
      <c r="AD10" s="152"/>
      <c r="AE10" s="152"/>
      <c r="AF10" s="194" t="s">
        <v>568</v>
      </c>
      <c r="AG10" s="152"/>
      <c r="AH10" s="152"/>
    </row>
    <row r="11" spans="1:34" x14ac:dyDescent="0.2">
      <c r="A11" s="92" t="s">
        <v>21</v>
      </c>
      <c r="B11" s="447" t="s">
        <v>5</v>
      </c>
      <c r="C11" s="5" t="s">
        <v>19</v>
      </c>
      <c r="D11" s="6"/>
      <c r="E11" s="448" t="s">
        <v>1146</v>
      </c>
      <c r="F11" s="670"/>
      <c r="G11" s="670"/>
      <c r="K11" s="101"/>
      <c r="L11" s="101" t="s">
        <v>23</v>
      </c>
      <c r="P11" s="159" t="str">
        <f t="shared" si="0"/>
        <v>RICAURTE</v>
      </c>
      <c r="Q11" s="153"/>
      <c r="R11" s="152"/>
      <c r="S11" s="207" t="s">
        <v>501</v>
      </c>
      <c r="T11" s="152"/>
      <c r="U11" s="205" t="s">
        <v>512</v>
      </c>
      <c r="V11" s="152"/>
      <c r="W11" s="203" t="s">
        <v>523</v>
      </c>
      <c r="X11" s="152"/>
      <c r="Y11" s="152"/>
      <c r="Z11" s="152"/>
      <c r="AA11" s="152"/>
      <c r="AB11" s="198" t="s">
        <v>547</v>
      </c>
      <c r="AC11" s="152"/>
      <c r="AD11" s="152"/>
      <c r="AE11" s="152"/>
      <c r="AF11" s="152"/>
      <c r="AG11" s="152"/>
      <c r="AH11" s="152"/>
    </row>
    <row r="12" spans="1:34" ht="12" customHeight="1" x14ac:dyDescent="0.2">
      <c r="A12" s="93" t="s">
        <v>24</v>
      </c>
      <c r="B12" s="447" t="s">
        <v>3</v>
      </c>
      <c r="C12" s="5" t="s">
        <v>22</v>
      </c>
      <c r="D12" s="5"/>
      <c r="E12" s="448" t="s">
        <v>1147</v>
      </c>
      <c r="K12" s="101"/>
      <c r="L12" s="101" t="s">
        <v>25</v>
      </c>
      <c r="P12" s="159" t="str">
        <f t="shared" si="0"/>
        <v>SAN ANTONIO</v>
      </c>
      <c r="Q12" s="152"/>
      <c r="R12" s="152"/>
      <c r="S12" s="207" t="s">
        <v>502</v>
      </c>
      <c r="T12" s="152"/>
      <c r="U12" s="205" t="s">
        <v>513</v>
      </c>
      <c r="V12" s="152"/>
      <c r="W12" s="152"/>
      <c r="X12" s="152"/>
      <c r="Y12" s="152"/>
      <c r="Z12" s="152"/>
      <c r="AA12" s="152"/>
      <c r="AB12" s="198" t="s">
        <v>548</v>
      </c>
      <c r="AC12" s="152"/>
      <c r="AD12" s="152"/>
      <c r="AE12" s="152"/>
      <c r="AF12" s="152"/>
      <c r="AG12" s="152"/>
      <c r="AH12" s="152"/>
    </row>
    <row r="13" spans="1:34" ht="12.75" customHeight="1" thickBot="1" x14ac:dyDescent="0.25">
      <c r="A13" s="94"/>
      <c r="B13" s="6"/>
      <c r="C13" s="6"/>
      <c r="D13" s="6"/>
      <c r="E13" s="95"/>
      <c r="P13" s="159" t="str">
        <f t="shared" si="0"/>
        <v>SANTA RITA</v>
      </c>
      <c r="Q13" s="152"/>
      <c r="R13" s="152"/>
      <c r="S13" s="207" t="s">
        <v>503</v>
      </c>
      <c r="T13" s="152"/>
      <c r="U13" s="205" t="s">
        <v>514</v>
      </c>
      <c r="V13" s="152"/>
      <c r="W13" s="152"/>
      <c r="X13" s="152"/>
      <c r="Y13" s="152"/>
      <c r="Z13" s="152"/>
      <c r="AA13" s="152"/>
      <c r="AB13" s="198" t="s">
        <v>549</v>
      </c>
      <c r="AC13" s="152"/>
      <c r="AD13" s="152"/>
      <c r="AE13" s="152"/>
      <c r="AF13" s="152"/>
      <c r="AG13" s="152"/>
      <c r="AH13" s="152"/>
    </row>
    <row r="14" spans="1:34" ht="16.5" thickBot="1" x14ac:dyDescent="0.3">
      <c r="A14" s="664" t="s">
        <v>26</v>
      </c>
      <c r="B14" s="665"/>
      <c r="C14" s="665"/>
      <c r="D14" s="665"/>
      <c r="E14" s="666"/>
      <c r="P14" s="159">
        <f t="shared" si="0"/>
        <v>0</v>
      </c>
      <c r="Q14" s="154"/>
      <c r="R14" s="152"/>
      <c r="S14" s="152"/>
      <c r="T14" s="152"/>
      <c r="U14" s="205" t="s">
        <v>515</v>
      </c>
      <c r="V14" s="152"/>
      <c r="W14" s="152"/>
      <c r="X14" s="152"/>
      <c r="Y14" s="152"/>
      <c r="Z14" s="152"/>
      <c r="AA14" s="152"/>
      <c r="AB14" s="198" t="s">
        <v>550</v>
      </c>
      <c r="AC14" s="152"/>
      <c r="AD14" s="152"/>
      <c r="AE14" s="152"/>
      <c r="AF14" s="152"/>
      <c r="AG14" s="152"/>
      <c r="AH14" s="152"/>
    </row>
    <row r="15" spans="1:34" x14ac:dyDescent="0.2">
      <c r="A15" s="93"/>
      <c r="B15" s="6"/>
      <c r="C15" s="6"/>
      <c r="D15" s="6"/>
      <c r="E15" s="95"/>
      <c r="P15" s="159">
        <f t="shared" si="0"/>
        <v>0</v>
      </c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98" t="s">
        <v>551</v>
      </c>
      <c r="AC15" s="152"/>
      <c r="AD15" s="152"/>
      <c r="AE15" s="152"/>
      <c r="AF15" s="152"/>
      <c r="AG15" s="152"/>
      <c r="AH15" s="152"/>
    </row>
    <row r="16" spans="1:34" x14ac:dyDescent="0.2">
      <c r="A16" s="94" t="s">
        <v>27</v>
      </c>
      <c r="B16" s="3" t="s">
        <v>2</v>
      </c>
      <c r="C16" s="6"/>
      <c r="D16" s="6" t="s">
        <v>28</v>
      </c>
      <c r="E16" s="485" t="s">
        <v>14</v>
      </c>
      <c r="P16" s="159">
        <f t="shared" si="0"/>
        <v>0</v>
      </c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98" t="s">
        <v>552</v>
      </c>
      <c r="AC16" s="152"/>
      <c r="AD16" s="152"/>
      <c r="AE16" s="152"/>
      <c r="AF16" s="152"/>
      <c r="AG16" s="152"/>
      <c r="AH16" s="152"/>
    </row>
    <row r="17" spans="1:34" x14ac:dyDescent="0.2">
      <c r="A17" s="94"/>
      <c r="B17" s="6"/>
      <c r="C17" s="6"/>
      <c r="D17" s="6"/>
      <c r="E17" s="95"/>
      <c r="P17" s="159">
        <f t="shared" si="0"/>
        <v>0</v>
      </c>
      <c r="Q17" s="153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98" t="s">
        <v>553</v>
      </c>
      <c r="AC17" s="152"/>
      <c r="AD17" s="152"/>
      <c r="AE17" s="152"/>
      <c r="AF17" s="152"/>
      <c r="AG17" s="152"/>
      <c r="AH17" s="152"/>
    </row>
    <row r="18" spans="1:34" x14ac:dyDescent="0.2">
      <c r="A18" s="671" t="s">
        <v>29</v>
      </c>
      <c r="B18" s="672"/>
      <c r="C18" s="6"/>
      <c r="D18" s="673" t="s">
        <v>30</v>
      </c>
      <c r="E18" s="674"/>
      <c r="P18" s="159">
        <f t="shared" ref="P18:P20" si="1">LOOKUP($B$9,$Q$3:$AH$3,Q18:AH18)</f>
        <v>0</v>
      </c>
      <c r="AB18" s="198" t="s">
        <v>554</v>
      </c>
    </row>
    <row r="19" spans="1:34" x14ac:dyDescent="0.2">
      <c r="A19" s="94" t="s">
        <v>1150</v>
      </c>
      <c r="B19" s="6" t="s">
        <v>1151</v>
      </c>
      <c r="C19" s="6"/>
      <c r="D19" s="6" t="s">
        <v>1149</v>
      </c>
      <c r="E19" s="95" t="s">
        <v>1148</v>
      </c>
      <c r="P19" s="159">
        <f t="shared" si="1"/>
        <v>0</v>
      </c>
      <c r="AB19" s="198" t="s">
        <v>555</v>
      </c>
    </row>
    <row r="20" spans="1:34" x14ac:dyDescent="0.2">
      <c r="A20" s="449">
        <v>1296</v>
      </c>
      <c r="B20" s="450">
        <v>2589</v>
      </c>
      <c r="C20" s="6"/>
      <c r="D20" s="312" t="s">
        <v>381</v>
      </c>
      <c r="E20" s="349" t="s">
        <v>0</v>
      </c>
      <c r="P20" s="159">
        <f t="shared" si="1"/>
        <v>0</v>
      </c>
      <c r="AB20" s="198" t="s">
        <v>556</v>
      </c>
    </row>
    <row r="21" spans="1:34" x14ac:dyDescent="0.2">
      <c r="A21" s="678" t="s">
        <v>31</v>
      </c>
      <c r="B21" s="679"/>
      <c r="C21" s="679"/>
      <c r="D21" s="679"/>
      <c r="E21" s="680"/>
    </row>
    <row r="22" spans="1:34" x14ac:dyDescent="0.2">
      <c r="A22" s="94" t="s">
        <v>32</v>
      </c>
      <c r="B22" s="6" t="s">
        <v>33</v>
      </c>
      <c r="C22" s="681" t="s">
        <v>34</v>
      </c>
      <c r="D22" s="681"/>
      <c r="E22" s="95" t="s">
        <v>35</v>
      </c>
    </row>
    <row r="23" spans="1:34" x14ac:dyDescent="0.2">
      <c r="A23" s="355">
        <v>300</v>
      </c>
      <c r="B23" s="356">
        <v>39</v>
      </c>
      <c r="C23" s="105"/>
      <c r="D23" s="160">
        <v>0</v>
      </c>
      <c r="E23" s="161">
        <f>A23+B23+D23</f>
        <v>339</v>
      </c>
    </row>
    <row r="24" spans="1:34" x14ac:dyDescent="0.2">
      <c r="A24" s="678" t="s">
        <v>36</v>
      </c>
      <c r="B24" s="679"/>
      <c r="C24" s="679"/>
      <c r="D24" s="679"/>
      <c r="E24" s="680"/>
    </row>
    <row r="25" spans="1:34" ht="12" customHeight="1" x14ac:dyDescent="0.2">
      <c r="A25" s="94" t="s">
        <v>37</v>
      </c>
      <c r="B25" s="8">
        <f>'MODELO DE PRESUPUESTO'!$F$40</f>
        <v>8</v>
      </c>
      <c r="C25" s="6"/>
      <c r="D25" s="6" t="s">
        <v>42</v>
      </c>
      <c r="E25" s="96">
        <f>'MODELO DE PRESUPUESTO'!$F$37</f>
        <v>0</v>
      </c>
    </row>
    <row r="26" spans="1:34" ht="12" customHeight="1" x14ac:dyDescent="0.2">
      <c r="A26" s="94" t="s">
        <v>39</v>
      </c>
      <c r="B26" s="8">
        <f>'MODELO DE PRESUPUESTO'!$F$39</f>
        <v>10</v>
      </c>
      <c r="C26" s="6"/>
      <c r="D26" s="6" t="s">
        <v>38</v>
      </c>
      <c r="E26" s="96">
        <f>'MODELO DE PRESUPUESTO'!$F$36</f>
        <v>0</v>
      </c>
    </row>
    <row r="27" spans="1:34" ht="12" customHeight="1" x14ac:dyDescent="0.2">
      <c r="A27" s="94" t="s">
        <v>41</v>
      </c>
      <c r="B27" s="8">
        <f>'MODELO DE PRESUPUESTO'!$F$38</f>
        <v>0</v>
      </c>
      <c r="C27" s="6"/>
      <c r="D27" s="6" t="s">
        <v>40</v>
      </c>
      <c r="E27" s="96">
        <f>'MODELO DE PRESUPUESTO'!$F$35</f>
        <v>0</v>
      </c>
    </row>
    <row r="28" spans="1:34" ht="12" customHeight="1" x14ac:dyDescent="0.2">
      <c r="A28" s="94"/>
      <c r="B28" s="8"/>
      <c r="C28" s="6"/>
      <c r="D28" s="312" t="s">
        <v>43</v>
      </c>
      <c r="E28" s="96">
        <f>B25*I3+B26*I4+B27*I5+E25*I6+E26*I7+E27*I8</f>
        <v>775</v>
      </c>
    </row>
    <row r="29" spans="1:34" ht="12.75" customHeight="1" x14ac:dyDescent="0.2">
      <c r="A29" s="94"/>
      <c r="B29" s="106"/>
      <c r="C29" s="6"/>
      <c r="D29" s="6"/>
      <c r="E29" s="95"/>
    </row>
    <row r="30" spans="1:34" x14ac:dyDescent="0.2">
      <c r="A30" s="678" t="s">
        <v>44</v>
      </c>
      <c r="B30" s="679"/>
      <c r="C30" s="679"/>
      <c r="D30" s="679"/>
      <c r="E30" s="680"/>
    </row>
    <row r="31" spans="1:34" x14ac:dyDescent="0.2">
      <c r="A31" s="94"/>
      <c r="B31" s="6"/>
      <c r="C31" s="6"/>
      <c r="D31" s="6"/>
      <c r="E31" s="95"/>
    </row>
    <row r="32" spans="1:34" x14ac:dyDescent="0.2">
      <c r="A32" s="229" t="s">
        <v>45</v>
      </c>
      <c r="B32" s="230" t="e">
        <f>'MODELO DE PRESUPUESTO'!#REF!</f>
        <v>#REF!</v>
      </c>
      <c r="C32" s="6"/>
      <c r="D32" s="6" t="s">
        <v>46</v>
      </c>
      <c r="E32" s="97">
        <f>'MODELO DE PRESUPUESTO'!$F$16</f>
        <v>2.64</v>
      </c>
    </row>
    <row r="33" spans="1:5" x14ac:dyDescent="0.2">
      <c r="A33" s="94" t="s">
        <v>47</v>
      </c>
      <c r="B33" s="88">
        <f>'MODELO DE PRESUPUESTO'!$F$13</f>
        <v>0</v>
      </c>
      <c r="C33" s="6"/>
      <c r="D33" s="6" t="s">
        <v>782</v>
      </c>
      <c r="E33" s="97">
        <f>'MODELO DE PRESUPUESTO'!$F$140</f>
        <v>3390</v>
      </c>
    </row>
    <row r="34" spans="1:5" x14ac:dyDescent="0.2">
      <c r="A34" s="94" t="s">
        <v>48</v>
      </c>
      <c r="B34" s="88">
        <f>'MODELO DE PRESUPUESTO'!$F$12</f>
        <v>1.32</v>
      </c>
      <c r="C34" s="6"/>
      <c r="D34" s="6" t="s">
        <v>49</v>
      </c>
      <c r="E34" s="97">
        <f>'MODELO DE PRESUPUESTO'!$F$20+'MODELO DE PRESUPUESTO'!$F$22+'MODELO DE PRESUPUESTO'!$F$24+'MODELO DE PRESUPUESTO'!$F$25</f>
        <v>33</v>
      </c>
    </row>
    <row r="35" spans="1:5" ht="13.5" thickBot="1" x14ac:dyDescent="0.25">
      <c r="A35" s="94"/>
      <c r="B35" s="6"/>
      <c r="C35" s="6"/>
      <c r="D35" s="6"/>
      <c r="E35" s="95"/>
    </row>
    <row r="36" spans="1:5" ht="16.5" thickBot="1" x14ac:dyDescent="0.3">
      <c r="A36" s="664" t="s">
        <v>50</v>
      </c>
      <c r="B36" s="665"/>
      <c r="C36" s="665"/>
      <c r="D36" s="665"/>
      <c r="E36" s="666"/>
    </row>
    <row r="37" spans="1:5" x14ac:dyDescent="0.2">
      <c r="A37" s="94"/>
      <c r="B37" s="6"/>
      <c r="C37" s="6"/>
      <c r="D37" s="6"/>
      <c r="E37" s="95"/>
    </row>
    <row r="38" spans="1:5" x14ac:dyDescent="0.2">
      <c r="A38" s="94"/>
      <c r="B38" s="6"/>
      <c r="C38" s="6"/>
      <c r="D38" s="6"/>
      <c r="E38" s="95"/>
    </row>
    <row r="39" spans="1:5" x14ac:dyDescent="0.2">
      <c r="A39" s="94" t="s">
        <v>783</v>
      </c>
      <c r="B39" s="6"/>
      <c r="C39" s="6"/>
      <c r="D39" s="456">
        <f>'MODELO DE PRESUPUESTO'!G146</f>
        <v>259491.09000000005</v>
      </c>
      <c r="E39" s="95"/>
    </row>
    <row r="40" spans="1:5" x14ac:dyDescent="0.2">
      <c r="A40" s="94" t="s">
        <v>784</v>
      </c>
      <c r="B40" s="6"/>
      <c r="C40" s="6"/>
      <c r="D40" s="456">
        <f>'MODELO DE PRESUPUESTO'!G273</f>
        <v>38783.29</v>
      </c>
      <c r="E40" s="95"/>
    </row>
    <row r="41" spans="1:5" x14ac:dyDescent="0.2">
      <c r="A41" s="94" t="s">
        <v>986</v>
      </c>
      <c r="B41" s="6"/>
      <c r="C41" s="6"/>
      <c r="D41" s="456">
        <f>'MODELO DE PRESUPUESTO'!G288</f>
        <v>6583.6828000000005</v>
      </c>
      <c r="E41" s="95"/>
    </row>
    <row r="42" spans="1:5" x14ac:dyDescent="0.2">
      <c r="A42" s="94"/>
      <c r="B42" s="6"/>
      <c r="C42" s="6"/>
      <c r="D42" s="456"/>
      <c r="E42" s="95"/>
    </row>
    <row r="43" spans="1:5" x14ac:dyDescent="0.2">
      <c r="A43" s="94" t="s">
        <v>51</v>
      </c>
      <c r="B43" s="6"/>
      <c r="C43" s="6"/>
      <c r="D43" s="456">
        <f>'MODELO DE PRESUPUESTO'!F298</f>
        <v>899.286320943953</v>
      </c>
      <c r="E43" s="95"/>
    </row>
    <row r="44" spans="1:5" x14ac:dyDescent="0.2">
      <c r="A44" s="94"/>
      <c r="B44" s="6"/>
      <c r="C44" s="6"/>
      <c r="D44" s="6"/>
      <c r="E44" s="95"/>
    </row>
    <row r="45" spans="1:5" x14ac:dyDescent="0.2">
      <c r="A45" s="94"/>
      <c r="B45" s="6"/>
      <c r="C45" s="6"/>
      <c r="D45" s="6"/>
      <c r="E45" s="95"/>
    </row>
    <row r="46" spans="1:5" ht="15.75" customHeight="1" x14ac:dyDescent="0.2">
      <c r="A46" s="675" t="s">
        <v>1143</v>
      </c>
      <c r="B46" s="676"/>
      <c r="C46" s="676"/>
      <c r="D46" s="676"/>
      <c r="E46" s="677"/>
    </row>
    <row r="47" spans="1:5" ht="15.75" x14ac:dyDescent="0.2">
      <c r="A47" s="675" t="s">
        <v>1134</v>
      </c>
      <c r="B47" s="676"/>
      <c r="C47" s="676"/>
      <c r="D47" s="676"/>
      <c r="E47" s="677"/>
    </row>
    <row r="48" spans="1:5" ht="13.5" thickBot="1" x14ac:dyDescent="0.25">
      <c r="A48" s="107"/>
      <c r="B48" s="108"/>
      <c r="C48" s="108"/>
      <c r="D48" s="108"/>
      <c r="E48" s="109"/>
    </row>
  </sheetData>
  <sortState ref="O3:Q18">
    <sortCondition ref="Q3"/>
  </sortState>
  <customSheetViews>
    <customSheetView guid="{78BD55B1-68EB-420C-90D4-21A42E09A787}" scale="120" showPageBreaks="1" printArea="1" hiddenColumns="1" view="pageBreakPreview">
      <selection activeCell="B15" sqref="B15"/>
      <pageMargins left="0.70833333333333337" right="0.70833333333333337" top="0.74791666666666667" bottom="0.74791666666666667" header="0.51180555555555551" footer="0.51180555555555551"/>
      <printOptions horizontalCentered="1"/>
      <pageSetup paperSize="9" scale="97" firstPageNumber="0" orientation="portrait" horizontalDpi="300" verticalDpi="300" r:id="rId1"/>
      <headerFooter alignWithMargins="0"/>
    </customSheetView>
    <customSheetView guid="{61D25FAA-9885-4686-B739-70FDA39A07A1}" scale="120" showPageBreaks="1" printArea="1" hiddenColumns="1" view="pageBreakPreview" topLeftCell="A7">
      <selection activeCell="A20" sqref="A20"/>
      <pageMargins left="0.70833333333333337" right="0.70833333333333337" top="0.74791666666666667" bottom="0.74791666666666667" header="0.51180555555555551" footer="0.51180555555555551"/>
      <printOptions horizontalCentered="1"/>
      <pageSetup paperSize="9" scale="97" firstPageNumber="0" orientation="portrait" horizontalDpi="300" verticalDpi="300" r:id="rId2"/>
      <headerFooter alignWithMargins="0"/>
    </customSheetView>
  </customSheetViews>
  <mergeCells count="17">
    <mergeCell ref="A46:E46"/>
    <mergeCell ref="A47:E47"/>
    <mergeCell ref="A21:E21"/>
    <mergeCell ref="C22:D22"/>
    <mergeCell ref="A24:E24"/>
    <mergeCell ref="A30:E30"/>
    <mergeCell ref="A36:E36"/>
    <mergeCell ref="F10:G10"/>
    <mergeCell ref="F11:G11"/>
    <mergeCell ref="A14:E14"/>
    <mergeCell ref="A18:B18"/>
    <mergeCell ref="D18:E18"/>
    <mergeCell ref="A2:E2"/>
    <mergeCell ref="E4:E5"/>
    <mergeCell ref="A7:E7"/>
    <mergeCell ref="B1:E1"/>
    <mergeCell ref="B5:D5"/>
  </mergeCells>
  <dataValidations count="9">
    <dataValidation type="custom" allowBlank="1" showInputMessage="1" showErrorMessage="1" sqref="H13">
      <formula1>#REF!</formula1>
    </dataValidation>
    <dataValidation type="list" operator="equal" allowBlank="1" showErrorMessage="1" sqref="E20">
      <formula1>$K$3:$K$4</formula1>
    </dataValidation>
    <dataValidation type="list" operator="equal" allowBlank="1" showErrorMessage="1" sqref="D20">
      <formula1>$L$7:$L$12</formula1>
    </dataValidation>
    <dataValidation type="list" operator="equal" allowBlank="1" showErrorMessage="1" sqref="E16">
      <formula1>$M$8:$M$10</formula1>
    </dataValidation>
    <dataValidation type="list" operator="equal" allowBlank="1" showErrorMessage="1" sqref="B16">
      <formula1>$M$3:$M$6</formula1>
    </dataValidation>
    <dataValidation type="list" operator="equal" allowBlank="1" showErrorMessage="1" sqref="B12">
      <formula1>$O$3:$O$4</formula1>
    </dataValidation>
    <dataValidation type="list" operator="equal" allowBlank="1" showErrorMessage="1" sqref="B11">
      <formula1>$L$3:$L$4</formula1>
    </dataValidation>
    <dataValidation type="list" allowBlank="1" showInputMessage="1" showErrorMessage="1" sqref="B9">
      <formula1>$Q$3:$AH$3</formula1>
    </dataValidation>
    <dataValidation type="list" allowBlank="1" showInputMessage="1" showErrorMessage="1" sqref="B10">
      <formula1>$P$4:$P$20</formula1>
    </dataValidation>
  </dataValidations>
  <printOptions horizontalCentered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3"/>
  <headerFooter alignWithMargins="0"/>
  <drawing r:id="rId4"/>
  <legacy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41"/>
  <sheetViews>
    <sheetView view="pageBreakPreview" topLeftCell="A2" workbookViewId="0">
      <selection activeCell="D18" sqref="D18:E18"/>
    </sheetView>
  </sheetViews>
  <sheetFormatPr baseColWidth="10" defaultRowHeight="12.75" x14ac:dyDescent="0.2"/>
  <cols>
    <col min="1" max="1" width="11.42578125" style="263"/>
    <col min="2" max="2" width="15" style="263" customWidth="1"/>
    <col min="3" max="3" width="5.7109375" style="263" customWidth="1"/>
    <col min="4" max="4" width="12" style="263" customWidth="1"/>
    <col min="5" max="5" width="28.28515625" style="263" customWidth="1"/>
    <col min="6" max="6" width="11.7109375" style="263" customWidth="1"/>
    <col min="7" max="7" width="10.42578125" style="263" customWidth="1"/>
    <col min="8" max="8" width="9.140625" style="263" customWidth="1"/>
    <col min="9" max="9" width="17.42578125" style="263" customWidth="1"/>
    <col min="10" max="10" width="16.5703125" style="263" customWidth="1"/>
    <col min="11" max="256" width="11.42578125" style="263"/>
    <col min="257" max="257" width="15" style="263" customWidth="1"/>
    <col min="258" max="258" width="5.7109375" style="263" customWidth="1"/>
    <col min="259" max="259" width="35.7109375" style="263" customWidth="1"/>
    <col min="260" max="260" width="11.7109375" style="263" customWidth="1"/>
    <col min="261" max="261" width="10.42578125" style="263" customWidth="1"/>
    <col min="262" max="262" width="6.85546875" style="263" customWidth="1"/>
    <col min="263" max="263" width="12.28515625" style="263" customWidth="1"/>
    <col min="264" max="264" width="11.42578125" style="263"/>
    <col min="265" max="265" width="14.85546875" style="263" customWidth="1"/>
    <col min="266" max="266" width="16.5703125" style="263" customWidth="1"/>
    <col min="267" max="512" width="11.42578125" style="263"/>
    <col min="513" max="513" width="15" style="263" customWidth="1"/>
    <col min="514" max="514" width="5.7109375" style="263" customWidth="1"/>
    <col min="515" max="515" width="35.7109375" style="263" customWidth="1"/>
    <col min="516" max="516" width="11.7109375" style="263" customWidth="1"/>
    <col min="517" max="517" width="10.42578125" style="263" customWidth="1"/>
    <col min="518" max="518" width="6.85546875" style="263" customWidth="1"/>
    <col min="519" max="519" width="12.28515625" style="263" customWidth="1"/>
    <col min="520" max="520" width="11.42578125" style="263"/>
    <col min="521" max="521" width="14.85546875" style="263" customWidth="1"/>
    <col min="522" max="522" width="16.5703125" style="263" customWidth="1"/>
    <col min="523" max="768" width="11.42578125" style="263"/>
    <col min="769" max="769" width="15" style="263" customWidth="1"/>
    <col min="770" max="770" width="5.7109375" style="263" customWidth="1"/>
    <col min="771" max="771" width="35.7109375" style="263" customWidth="1"/>
    <col min="772" max="772" width="11.7109375" style="263" customWidth="1"/>
    <col min="773" max="773" width="10.42578125" style="263" customWidth="1"/>
    <col min="774" max="774" width="6.85546875" style="263" customWidth="1"/>
    <col min="775" max="775" width="12.28515625" style="263" customWidth="1"/>
    <col min="776" max="776" width="11.42578125" style="263"/>
    <col min="777" max="777" width="14.85546875" style="263" customWidth="1"/>
    <col min="778" max="778" width="16.5703125" style="263" customWidth="1"/>
    <col min="779" max="1024" width="11.42578125" style="263"/>
    <col min="1025" max="1025" width="15" style="263" customWidth="1"/>
    <col min="1026" max="1026" width="5.7109375" style="263" customWidth="1"/>
    <col min="1027" max="1027" width="35.7109375" style="263" customWidth="1"/>
    <col min="1028" max="1028" width="11.7109375" style="263" customWidth="1"/>
    <col min="1029" max="1029" width="10.42578125" style="263" customWidth="1"/>
    <col min="1030" max="1030" width="6.85546875" style="263" customWidth="1"/>
    <col min="1031" max="1031" width="12.28515625" style="263" customWidth="1"/>
    <col min="1032" max="1032" width="11.42578125" style="263"/>
    <col min="1033" max="1033" width="14.85546875" style="263" customWidth="1"/>
    <col min="1034" max="1034" width="16.5703125" style="263" customWidth="1"/>
    <col min="1035" max="1280" width="11.42578125" style="263"/>
    <col min="1281" max="1281" width="15" style="263" customWidth="1"/>
    <col min="1282" max="1282" width="5.7109375" style="263" customWidth="1"/>
    <col min="1283" max="1283" width="35.7109375" style="263" customWidth="1"/>
    <col min="1284" max="1284" width="11.7109375" style="263" customWidth="1"/>
    <col min="1285" max="1285" width="10.42578125" style="263" customWidth="1"/>
    <col min="1286" max="1286" width="6.85546875" style="263" customWidth="1"/>
    <col min="1287" max="1287" width="12.28515625" style="263" customWidth="1"/>
    <col min="1288" max="1288" width="11.42578125" style="263"/>
    <col min="1289" max="1289" width="14.85546875" style="263" customWidth="1"/>
    <col min="1290" max="1290" width="16.5703125" style="263" customWidth="1"/>
    <col min="1291" max="1536" width="11.42578125" style="263"/>
    <col min="1537" max="1537" width="15" style="263" customWidth="1"/>
    <col min="1538" max="1538" width="5.7109375" style="263" customWidth="1"/>
    <col min="1539" max="1539" width="35.7109375" style="263" customWidth="1"/>
    <col min="1540" max="1540" width="11.7109375" style="263" customWidth="1"/>
    <col min="1541" max="1541" width="10.42578125" style="263" customWidth="1"/>
    <col min="1542" max="1542" width="6.85546875" style="263" customWidth="1"/>
    <col min="1543" max="1543" width="12.28515625" style="263" customWidth="1"/>
    <col min="1544" max="1544" width="11.42578125" style="263"/>
    <col min="1545" max="1545" width="14.85546875" style="263" customWidth="1"/>
    <col min="1546" max="1546" width="16.5703125" style="263" customWidth="1"/>
    <col min="1547" max="1792" width="11.42578125" style="263"/>
    <col min="1793" max="1793" width="15" style="263" customWidth="1"/>
    <col min="1794" max="1794" width="5.7109375" style="263" customWidth="1"/>
    <col min="1795" max="1795" width="35.7109375" style="263" customWidth="1"/>
    <col min="1796" max="1796" width="11.7109375" style="263" customWidth="1"/>
    <col min="1797" max="1797" width="10.42578125" style="263" customWidth="1"/>
    <col min="1798" max="1798" width="6.85546875" style="263" customWidth="1"/>
    <col min="1799" max="1799" width="12.28515625" style="263" customWidth="1"/>
    <col min="1800" max="1800" width="11.42578125" style="263"/>
    <col min="1801" max="1801" width="14.85546875" style="263" customWidth="1"/>
    <col min="1802" max="1802" width="16.5703125" style="263" customWidth="1"/>
    <col min="1803" max="2048" width="11.42578125" style="263"/>
    <col min="2049" max="2049" width="15" style="263" customWidth="1"/>
    <col min="2050" max="2050" width="5.7109375" style="263" customWidth="1"/>
    <col min="2051" max="2051" width="35.7109375" style="263" customWidth="1"/>
    <col min="2052" max="2052" width="11.7109375" style="263" customWidth="1"/>
    <col min="2053" max="2053" width="10.42578125" style="263" customWidth="1"/>
    <col min="2054" max="2054" width="6.85546875" style="263" customWidth="1"/>
    <col min="2055" max="2055" width="12.28515625" style="263" customWidth="1"/>
    <col min="2056" max="2056" width="11.42578125" style="263"/>
    <col min="2057" max="2057" width="14.85546875" style="263" customWidth="1"/>
    <col min="2058" max="2058" width="16.5703125" style="263" customWidth="1"/>
    <col min="2059" max="2304" width="11.42578125" style="263"/>
    <col min="2305" max="2305" width="15" style="263" customWidth="1"/>
    <col min="2306" max="2306" width="5.7109375" style="263" customWidth="1"/>
    <col min="2307" max="2307" width="35.7109375" style="263" customWidth="1"/>
    <col min="2308" max="2308" width="11.7109375" style="263" customWidth="1"/>
    <col min="2309" max="2309" width="10.42578125" style="263" customWidth="1"/>
    <col min="2310" max="2310" width="6.85546875" style="263" customWidth="1"/>
    <col min="2311" max="2311" width="12.28515625" style="263" customWidth="1"/>
    <col min="2312" max="2312" width="11.42578125" style="263"/>
    <col min="2313" max="2313" width="14.85546875" style="263" customWidth="1"/>
    <col min="2314" max="2314" width="16.5703125" style="263" customWidth="1"/>
    <col min="2315" max="2560" width="11.42578125" style="263"/>
    <col min="2561" max="2561" width="15" style="263" customWidth="1"/>
    <col min="2562" max="2562" width="5.7109375" style="263" customWidth="1"/>
    <col min="2563" max="2563" width="35.7109375" style="263" customWidth="1"/>
    <col min="2564" max="2564" width="11.7109375" style="263" customWidth="1"/>
    <col min="2565" max="2565" width="10.42578125" style="263" customWidth="1"/>
    <col min="2566" max="2566" width="6.85546875" style="263" customWidth="1"/>
    <col min="2567" max="2567" width="12.28515625" style="263" customWidth="1"/>
    <col min="2568" max="2568" width="11.42578125" style="263"/>
    <col min="2569" max="2569" width="14.85546875" style="263" customWidth="1"/>
    <col min="2570" max="2570" width="16.5703125" style="263" customWidth="1"/>
    <col min="2571" max="2816" width="11.42578125" style="263"/>
    <col min="2817" max="2817" width="15" style="263" customWidth="1"/>
    <col min="2818" max="2818" width="5.7109375" style="263" customWidth="1"/>
    <col min="2819" max="2819" width="35.7109375" style="263" customWidth="1"/>
    <col min="2820" max="2820" width="11.7109375" style="263" customWidth="1"/>
    <col min="2821" max="2821" width="10.42578125" style="263" customWidth="1"/>
    <col min="2822" max="2822" width="6.85546875" style="263" customWidth="1"/>
    <col min="2823" max="2823" width="12.28515625" style="263" customWidth="1"/>
    <col min="2824" max="2824" width="11.42578125" style="263"/>
    <col min="2825" max="2825" width="14.85546875" style="263" customWidth="1"/>
    <col min="2826" max="2826" width="16.5703125" style="263" customWidth="1"/>
    <col min="2827" max="3072" width="11.42578125" style="263"/>
    <col min="3073" max="3073" width="15" style="263" customWidth="1"/>
    <col min="3074" max="3074" width="5.7109375" style="263" customWidth="1"/>
    <col min="3075" max="3075" width="35.7109375" style="263" customWidth="1"/>
    <col min="3076" max="3076" width="11.7109375" style="263" customWidth="1"/>
    <col min="3077" max="3077" width="10.42578125" style="263" customWidth="1"/>
    <col min="3078" max="3078" width="6.85546875" style="263" customWidth="1"/>
    <col min="3079" max="3079" width="12.28515625" style="263" customWidth="1"/>
    <col min="3080" max="3080" width="11.42578125" style="263"/>
    <col min="3081" max="3081" width="14.85546875" style="263" customWidth="1"/>
    <col min="3082" max="3082" width="16.5703125" style="263" customWidth="1"/>
    <col min="3083" max="3328" width="11.42578125" style="263"/>
    <col min="3329" max="3329" width="15" style="263" customWidth="1"/>
    <col min="3330" max="3330" width="5.7109375" style="263" customWidth="1"/>
    <col min="3331" max="3331" width="35.7109375" style="263" customWidth="1"/>
    <col min="3332" max="3332" width="11.7109375" style="263" customWidth="1"/>
    <col min="3333" max="3333" width="10.42578125" style="263" customWidth="1"/>
    <col min="3334" max="3334" width="6.85546875" style="263" customWidth="1"/>
    <col min="3335" max="3335" width="12.28515625" style="263" customWidth="1"/>
    <col min="3336" max="3336" width="11.42578125" style="263"/>
    <col min="3337" max="3337" width="14.85546875" style="263" customWidth="1"/>
    <col min="3338" max="3338" width="16.5703125" style="263" customWidth="1"/>
    <col min="3339" max="3584" width="11.42578125" style="263"/>
    <col min="3585" max="3585" width="15" style="263" customWidth="1"/>
    <col min="3586" max="3586" width="5.7109375" style="263" customWidth="1"/>
    <col min="3587" max="3587" width="35.7109375" style="263" customWidth="1"/>
    <col min="3588" max="3588" width="11.7109375" style="263" customWidth="1"/>
    <col min="3589" max="3589" width="10.42578125" style="263" customWidth="1"/>
    <col min="3590" max="3590" width="6.85546875" style="263" customWidth="1"/>
    <col min="3591" max="3591" width="12.28515625" style="263" customWidth="1"/>
    <col min="3592" max="3592" width="11.42578125" style="263"/>
    <col min="3593" max="3593" width="14.85546875" style="263" customWidth="1"/>
    <col min="3594" max="3594" width="16.5703125" style="263" customWidth="1"/>
    <col min="3595" max="3840" width="11.42578125" style="263"/>
    <col min="3841" max="3841" width="15" style="263" customWidth="1"/>
    <col min="3842" max="3842" width="5.7109375" style="263" customWidth="1"/>
    <col min="3843" max="3843" width="35.7109375" style="263" customWidth="1"/>
    <col min="3844" max="3844" width="11.7109375" style="263" customWidth="1"/>
    <col min="3845" max="3845" width="10.42578125" style="263" customWidth="1"/>
    <col min="3846" max="3846" width="6.85546875" style="263" customWidth="1"/>
    <col min="3847" max="3847" width="12.28515625" style="263" customWidth="1"/>
    <col min="3848" max="3848" width="11.42578125" style="263"/>
    <col min="3849" max="3849" width="14.85546875" style="263" customWidth="1"/>
    <col min="3850" max="3850" width="16.5703125" style="263" customWidth="1"/>
    <col min="3851" max="4096" width="11.42578125" style="263"/>
    <col min="4097" max="4097" width="15" style="263" customWidth="1"/>
    <col min="4098" max="4098" width="5.7109375" style="263" customWidth="1"/>
    <col min="4099" max="4099" width="35.7109375" style="263" customWidth="1"/>
    <col min="4100" max="4100" width="11.7109375" style="263" customWidth="1"/>
    <col min="4101" max="4101" width="10.42578125" style="263" customWidth="1"/>
    <col min="4102" max="4102" width="6.85546875" style="263" customWidth="1"/>
    <col min="4103" max="4103" width="12.28515625" style="263" customWidth="1"/>
    <col min="4104" max="4104" width="11.42578125" style="263"/>
    <col min="4105" max="4105" width="14.85546875" style="263" customWidth="1"/>
    <col min="4106" max="4106" width="16.5703125" style="263" customWidth="1"/>
    <col min="4107" max="4352" width="11.42578125" style="263"/>
    <col min="4353" max="4353" width="15" style="263" customWidth="1"/>
    <col min="4354" max="4354" width="5.7109375" style="263" customWidth="1"/>
    <col min="4355" max="4355" width="35.7109375" style="263" customWidth="1"/>
    <col min="4356" max="4356" width="11.7109375" style="263" customWidth="1"/>
    <col min="4357" max="4357" width="10.42578125" style="263" customWidth="1"/>
    <col min="4358" max="4358" width="6.85546875" style="263" customWidth="1"/>
    <col min="4359" max="4359" width="12.28515625" style="263" customWidth="1"/>
    <col min="4360" max="4360" width="11.42578125" style="263"/>
    <col min="4361" max="4361" width="14.85546875" style="263" customWidth="1"/>
    <col min="4362" max="4362" width="16.5703125" style="263" customWidth="1"/>
    <col min="4363" max="4608" width="11.42578125" style="263"/>
    <col min="4609" max="4609" width="15" style="263" customWidth="1"/>
    <col min="4610" max="4610" width="5.7109375" style="263" customWidth="1"/>
    <col min="4611" max="4611" width="35.7109375" style="263" customWidth="1"/>
    <col min="4612" max="4612" width="11.7109375" style="263" customWidth="1"/>
    <col min="4613" max="4613" width="10.42578125" style="263" customWidth="1"/>
    <col min="4614" max="4614" width="6.85546875" style="263" customWidth="1"/>
    <col min="4615" max="4615" width="12.28515625" style="263" customWidth="1"/>
    <col min="4616" max="4616" width="11.42578125" style="263"/>
    <col min="4617" max="4617" width="14.85546875" style="263" customWidth="1"/>
    <col min="4618" max="4618" width="16.5703125" style="263" customWidth="1"/>
    <col min="4619" max="4864" width="11.42578125" style="263"/>
    <col min="4865" max="4865" width="15" style="263" customWidth="1"/>
    <col min="4866" max="4866" width="5.7109375" style="263" customWidth="1"/>
    <col min="4867" max="4867" width="35.7109375" style="263" customWidth="1"/>
    <col min="4868" max="4868" width="11.7109375" style="263" customWidth="1"/>
    <col min="4869" max="4869" width="10.42578125" style="263" customWidth="1"/>
    <col min="4870" max="4870" width="6.85546875" style="263" customWidth="1"/>
    <col min="4871" max="4871" width="12.28515625" style="263" customWidth="1"/>
    <col min="4872" max="4872" width="11.42578125" style="263"/>
    <col min="4873" max="4873" width="14.85546875" style="263" customWidth="1"/>
    <col min="4874" max="4874" width="16.5703125" style="263" customWidth="1"/>
    <col min="4875" max="5120" width="11.42578125" style="263"/>
    <col min="5121" max="5121" width="15" style="263" customWidth="1"/>
    <col min="5122" max="5122" width="5.7109375" style="263" customWidth="1"/>
    <col min="5123" max="5123" width="35.7109375" style="263" customWidth="1"/>
    <col min="5124" max="5124" width="11.7109375" style="263" customWidth="1"/>
    <col min="5125" max="5125" width="10.42578125" style="263" customWidth="1"/>
    <col min="5126" max="5126" width="6.85546875" style="263" customWidth="1"/>
    <col min="5127" max="5127" width="12.28515625" style="263" customWidth="1"/>
    <col min="5128" max="5128" width="11.42578125" style="263"/>
    <col min="5129" max="5129" width="14.85546875" style="263" customWidth="1"/>
    <col min="5130" max="5130" width="16.5703125" style="263" customWidth="1"/>
    <col min="5131" max="5376" width="11.42578125" style="263"/>
    <col min="5377" max="5377" width="15" style="263" customWidth="1"/>
    <col min="5378" max="5378" width="5.7109375" style="263" customWidth="1"/>
    <col min="5379" max="5379" width="35.7109375" style="263" customWidth="1"/>
    <col min="5380" max="5380" width="11.7109375" style="263" customWidth="1"/>
    <col min="5381" max="5381" width="10.42578125" style="263" customWidth="1"/>
    <col min="5382" max="5382" width="6.85546875" style="263" customWidth="1"/>
    <col min="5383" max="5383" width="12.28515625" style="263" customWidth="1"/>
    <col min="5384" max="5384" width="11.42578125" style="263"/>
    <col min="5385" max="5385" width="14.85546875" style="263" customWidth="1"/>
    <col min="5386" max="5386" width="16.5703125" style="263" customWidth="1"/>
    <col min="5387" max="5632" width="11.42578125" style="263"/>
    <col min="5633" max="5633" width="15" style="263" customWidth="1"/>
    <col min="5634" max="5634" width="5.7109375" style="263" customWidth="1"/>
    <col min="5635" max="5635" width="35.7109375" style="263" customWidth="1"/>
    <col min="5636" max="5636" width="11.7109375" style="263" customWidth="1"/>
    <col min="5637" max="5637" width="10.42578125" style="263" customWidth="1"/>
    <col min="5638" max="5638" width="6.85546875" style="263" customWidth="1"/>
    <col min="5639" max="5639" width="12.28515625" style="263" customWidth="1"/>
    <col min="5640" max="5640" width="11.42578125" style="263"/>
    <col min="5641" max="5641" width="14.85546875" style="263" customWidth="1"/>
    <col min="5642" max="5642" width="16.5703125" style="263" customWidth="1"/>
    <col min="5643" max="5888" width="11.42578125" style="263"/>
    <col min="5889" max="5889" width="15" style="263" customWidth="1"/>
    <col min="5890" max="5890" width="5.7109375" style="263" customWidth="1"/>
    <col min="5891" max="5891" width="35.7109375" style="263" customWidth="1"/>
    <col min="5892" max="5892" width="11.7109375" style="263" customWidth="1"/>
    <col min="5893" max="5893" width="10.42578125" style="263" customWidth="1"/>
    <col min="5894" max="5894" width="6.85546875" style="263" customWidth="1"/>
    <col min="5895" max="5895" width="12.28515625" style="263" customWidth="1"/>
    <col min="5896" max="5896" width="11.42578125" style="263"/>
    <col min="5897" max="5897" width="14.85546875" style="263" customWidth="1"/>
    <col min="5898" max="5898" width="16.5703125" style="263" customWidth="1"/>
    <col min="5899" max="6144" width="11.42578125" style="263"/>
    <col min="6145" max="6145" width="15" style="263" customWidth="1"/>
    <col min="6146" max="6146" width="5.7109375" style="263" customWidth="1"/>
    <col min="6147" max="6147" width="35.7109375" style="263" customWidth="1"/>
    <col min="6148" max="6148" width="11.7109375" style="263" customWidth="1"/>
    <col min="6149" max="6149" width="10.42578125" style="263" customWidth="1"/>
    <col min="6150" max="6150" width="6.85546875" style="263" customWidth="1"/>
    <col min="6151" max="6151" width="12.28515625" style="263" customWidth="1"/>
    <col min="6152" max="6152" width="11.42578125" style="263"/>
    <col min="6153" max="6153" width="14.85546875" style="263" customWidth="1"/>
    <col min="6154" max="6154" width="16.5703125" style="263" customWidth="1"/>
    <col min="6155" max="6400" width="11.42578125" style="263"/>
    <col min="6401" max="6401" width="15" style="263" customWidth="1"/>
    <col min="6402" max="6402" width="5.7109375" style="263" customWidth="1"/>
    <col min="6403" max="6403" width="35.7109375" style="263" customWidth="1"/>
    <col min="6404" max="6404" width="11.7109375" style="263" customWidth="1"/>
    <col min="6405" max="6405" width="10.42578125" style="263" customWidth="1"/>
    <col min="6406" max="6406" width="6.85546875" style="263" customWidth="1"/>
    <col min="6407" max="6407" width="12.28515625" style="263" customWidth="1"/>
    <col min="6408" max="6408" width="11.42578125" style="263"/>
    <col min="6409" max="6409" width="14.85546875" style="263" customWidth="1"/>
    <col min="6410" max="6410" width="16.5703125" style="263" customWidth="1"/>
    <col min="6411" max="6656" width="11.42578125" style="263"/>
    <col min="6657" max="6657" width="15" style="263" customWidth="1"/>
    <col min="6658" max="6658" width="5.7109375" style="263" customWidth="1"/>
    <col min="6659" max="6659" width="35.7109375" style="263" customWidth="1"/>
    <col min="6660" max="6660" width="11.7109375" style="263" customWidth="1"/>
    <col min="6661" max="6661" width="10.42578125" style="263" customWidth="1"/>
    <col min="6662" max="6662" width="6.85546875" style="263" customWidth="1"/>
    <col min="6663" max="6663" width="12.28515625" style="263" customWidth="1"/>
    <col min="6664" max="6664" width="11.42578125" style="263"/>
    <col min="6665" max="6665" width="14.85546875" style="263" customWidth="1"/>
    <col min="6666" max="6666" width="16.5703125" style="263" customWidth="1"/>
    <col min="6667" max="6912" width="11.42578125" style="263"/>
    <col min="6913" max="6913" width="15" style="263" customWidth="1"/>
    <col min="6914" max="6914" width="5.7109375" style="263" customWidth="1"/>
    <col min="6915" max="6915" width="35.7109375" style="263" customWidth="1"/>
    <col min="6916" max="6916" width="11.7109375" style="263" customWidth="1"/>
    <col min="6917" max="6917" width="10.42578125" style="263" customWidth="1"/>
    <col min="6918" max="6918" width="6.85546875" style="263" customWidth="1"/>
    <col min="6919" max="6919" width="12.28515625" style="263" customWidth="1"/>
    <col min="6920" max="6920" width="11.42578125" style="263"/>
    <col min="6921" max="6921" width="14.85546875" style="263" customWidth="1"/>
    <col min="6922" max="6922" width="16.5703125" style="263" customWidth="1"/>
    <col min="6923" max="7168" width="11.42578125" style="263"/>
    <col min="7169" max="7169" width="15" style="263" customWidth="1"/>
    <col min="7170" max="7170" width="5.7109375" style="263" customWidth="1"/>
    <col min="7171" max="7171" width="35.7109375" style="263" customWidth="1"/>
    <col min="7172" max="7172" width="11.7109375" style="263" customWidth="1"/>
    <col min="7173" max="7173" width="10.42578125" style="263" customWidth="1"/>
    <col min="7174" max="7174" width="6.85546875" style="263" customWidth="1"/>
    <col min="7175" max="7175" width="12.28515625" style="263" customWidth="1"/>
    <col min="7176" max="7176" width="11.42578125" style="263"/>
    <col min="7177" max="7177" width="14.85546875" style="263" customWidth="1"/>
    <col min="7178" max="7178" width="16.5703125" style="263" customWidth="1"/>
    <col min="7179" max="7424" width="11.42578125" style="263"/>
    <col min="7425" max="7425" width="15" style="263" customWidth="1"/>
    <col min="7426" max="7426" width="5.7109375" style="263" customWidth="1"/>
    <col min="7427" max="7427" width="35.7109375" style="263" customWidth="1"/>
    <col min="7428" max="7428" width="11.7109375" style="263" customWidth="1"/>
    <col min="7429" max="7429" width="10.42578125" style="263" customWidth="1"/>
    <col min="7430" max="7430" width="6.85546875" style="263" customWidth="1"/>
    <col min="7431" max="7431" width="12.28515625" style="263" customWidth="1"/>
    <col min="7432" max="7432" width="11.42578125" style="263"/>
    <col min="7433" max="7433" width="14.85546875" style="263" customWidth="1"/>
    <col min="7434" max="7434" width="16.5703125" style="263" customWidth="1"/>
    <col min="7435" max="7680" width="11.42578125" style="263"/>
    <col min="7681" max="7681" width="15" style="263" customWidth="1"/>
    <col min="7682" max="7682" width="5.7109375" style="263" customWidth="1"/>
    <col min="7683" max="7683" width="35.7109375" style="263" customWidth="1"/>
    <col min="7684" max="7684" width="11.7109375" style="263" customWidth="1"/>
    <col min="7685" max="7685" width="10.42578125" style="263" customWidth="1"/>
    <col min="7686" max="7686" width="6.85546875" style="263" customWidth="1"/>
    <col min="7687" max="7687" width="12.28515625" style="263" customWidth="1"/>
    <col min="7688" max="7688" width="11.42578125" style="263"/>
    <col min="7689" max="7689" width="14.85546875" style="263" customWidth="1"/>
    <col min="7690" max="7690" width="16.5703125" style="263" customWidth="1"/>
    <col min="7691" max="7936" width="11.42578125" style="263"/>
    <col min="7937" max="7937" width="15" style="263" customWidth="1"/>
    <col min="7938" max="7938" width="5.7109375" style="263" customWidth="1"/>
    <col min="7939" max="7939" width="35.7109375" style="263" customWidth="1"/>
    <col min="7940" max="7940" width="11.7109375" style="263" customWidth="1"/>
    <col min="7941" max="7941" width="10.42578125" style="263" customWidth="1"/>
    <col min="7942" max="7942" width="6.85546875" style="263" customWidth="1"/>
    <col min="7943" max="7943" width="12.28515625" style="263" customWidth="1"/>
    <col min="7944" max="7944" width="11.42578125" style="263"/>
    <col min="7945" max="7945" width="14.85546875" style="263" customWidth="1"/>
    <col min="7946" max="7946" width="16.5703125" style="263" customWidth="1"/>
    <col min="7947" max="8192" width="11.42578125" style="263"/>
    <col min="8193" max="8193" width="15" style="263" customWidth="1"/>
    <col min="8194" max="8194" width="5.7109375" style="263" customWidth="1"/>
    <col min="8195" max="8195" width="35.7109375" style="263" customWidth="1"/>
    <col min="8196" max="8196" width="11.7109375" style="263" customWidth="1"/>
    <col min="8197" max="8197" width="10.42578125" style="263" customWidth="1"/>
    <col min="8198" max="8198" width="6.85546875" style="263" customWidth="1"/>
    <col min="8199" max="8199" width="12.28515625" style="263" customWidth="1"/>
    <col min="8200" max="8200" width="11.42578125" style="263"/>
    <col min="8201" max="8201" width="14.85546875" style="263" customWidth="1"/>
    <col min="8202" max="8202" width="16.5703125" style="263" customWidth="1"/>
    <col min="8203" max="8448" width="11.42578125" style="263"/>
    <col min="8449" max="8449" width="15" style="263" customWidth="1"/>
    <col min="8450" max="8450" width="5.7109375" style="263" customWidth="1"/>
    <col min="8451" max="8451" width="35.7109375" style="263" customWidth="1"/>
    <col min="8452" max="8452" width="11.7109375" style="263" customWidth="1"/>
    <col min="8453" max="8453" width="10.42578125" style="263" customWidth="1"/>
    <col min="8454" max="8454" width="6.85546875" style="263" customWidth="1"/>
    <col min="8455" max="8455" width="12.28515625" style="263" customWidth="1"/>
    <col min="8456" max="8456" width="11.42578125" style="263"/>
    <col min="8457" max="8457" width="14.85546875" style="263" customWidth="1"/>
    <col min="8458" max="8458" width="16.5703125" style="263" customWidth="1"/>
    <col min="8459" max="8704" width="11.42578125" style="263"/>
    <col min="8705" max="8705" width="15" style="263" customWidth="1"/>
    <col min="8706" max="8706" width="5.7109375" style="263" customWidth="1"/>
    <col min="8707" max="8707" width="35.7109375" style="263" customWidth="1"/>
    <col min="8708" max="8708" width="11.7109375" style="263" customWidth="1"/>
    <col min="8709" max="8709" width="10.42578125" style="263" customWidth="1"/>
    <col min="8710" max="8710" width="6.85546875" style="263" customWidth="1"/>
    <col min="8711" max="8711" width="12.28515625" style="263" customWidth="1"/>
    <col min="8712" max="8712" width="11.42578125" style="263"/>
    <col min="8713" max="8713" width="14.85546875" style="263" customWidth="1"/>
    <col min="8714" max="8714" width="16.5703125" style="263" customWidth="1"/>
    <col min="8715" max="8960" width="11.42578125" style="263"/>
    <col min="8961" max="8961" width="15" style="263" customWidth="1"/>
    <col min="8962" max="8962" width="5.7109375" style="263" customWidth="1"/>
    <col min="8963" max="8963" width="35.7109375" style="263" customWidth="1"/>
    <col min="8964" max="8964" width="11.7109375" style="263" customWidth="1"/>
    <col min="8965" max="8965" width="10.42578125" style="263" customWidth="1"/>
    <col min="8966" max="8966" width="6.85546875" style="263" customWidth="1"/>
    <col min="8967" max="8967" width="12.28515625" style="263" customWidth="1"/>
    <col min="8968" max="8968" width="11.42578125" style="263"/>
    <col min="8969" max="8969" width="14.85546875" style="263" customWidth="1"/>
    <col min="8970" max="8970" width="16.5703125" style="263" customWidth="1"/>
    <col min="8971" max="9216" width="11.42578125" style="263"/>
    <col min="9217" max="9217" width="15" style="263" customWidth="1"/>
    <col min="9218" max="9218" width="5.7109375" style="263" customWidth="1"/>
    <col min="9219" max="9219" width="35.7109375" style="263" customWidth="1"/>
    <col min="9220" max="9220" width="11.7109375" style="263" customWidth="1"/>
    <col min="9221" max="9221" width="10.42578125" style="263" customWidth="1"/>
    <col min="9222" max="9222" width="6.85546875" style="263" customWidth="1"/>
    <col min="9223" max="9223" width="12.28515625" style="263" customWidth="1"/>
    <col min="9224" max="9224" width="11.42578125" style="263"/>
    <col min="9225" max="9225" width="14.85546875" style="263" customWidth="1"/>
    <col min="9226" max="9226" width="16.5703125" style="263" customWidth="1"/>
    <col min="9227" max="9472" width="11.42578125" style="263"/>
    <col min="9473" max="9473" width="15" style="263" customWidth="1"/>
    <col min="9474" max="9474" width="5.7109375" style="263" customWidth="1"/>
    <col min="9475" max="9475" width="35.7109375" style="263" customWidth="1"/>
    <col min="9476" max="9476" width="11.7109375" style="263" customWidth="1"/>
    <col min="9477" max="9477" width="10.42578125" style="263" customWidth="1"/>
    <col min="9478" max="9478" width="6.85546875" style="263" customWidth="1"/>
    <col min="9479" max="9479" width="12.28515625" style="263" customWidth="1"/>
    <col min="9480" max="9480" width="11.42578125" style="263"/>
    <col min="9481" max="9481" width="14.85546875" style="263" customWidth="1"/>
    <col min="9482" max="9482" width="16.5703125" style="263" customWidth="1"/>
    <col min="9483" max="9728" width="11.42578125" style="263"/>
    <col min="9729" max="9729" width="15" style="263" customWidth="1"/>
    <col min="9730" max="9730" width="5.7109375" style="263" customWidth="1"/>
    <col min="9731" max="9731" width="35.7109375" style="263" customWidth="1"/>
    <col min="9732" max="9732" width="11.7109375" style="263" customWidth="1"/>
    <col min="9733" max="9733" width="10.42578125" style="263" customWidth="1"/>
    <col min="9734" max="9734" width="6.85546875" style="263" customWidth="1"/>
    <col min="9735" max="9735" width="12.28515625" style="263" customWidth="1"/>
    <col min="9736" max="9736" width="11.42578125" style="263"/>
    <col min="9737" max="9737" width="14.85546875" style="263" customWidth="1"/>
    <col min="9738" max="9738" width="16.5703125" style="263" customWidth="1"/>
    <col min="9739" max="9984" width="11.42578125" style="263"/>
    <col min="9985" max="9985" width="15" style="263" customWidth="1"/>
    <col min="9986" max="9986" width="5.7109375" style="263" customWidth="1"/>
    <col min="9987" max="9987" width="35.7109375" style="263" customWidth="1"/>
    <col min="9988" max="9988" width="11.7109375" style="263" customWidth="1"/>
    <col min="9989" max="9989" width="10.42578125" style="263" customWidth="1"/>
    <col min="9990" max="9990" width="6.85546875" style="263" customWidth="1"/>
    <col min="9991" max="9991" width="12.28515625" style="263" customWidth="1"/>
    <col min="9992" max="9992" width="11.42578125" style="263"/>
    <col min="9993" max="9993" width="14.85546875" style="263" customWidth="1"/>
    <col min="9994" max="9994" width="16.5703125" style="263" customWidth="1"/>
    <col min="9995" max="10240" width="11.42578125" style="263"/>
    <col min="10241" max="10241" width="15" style="263" customWidth="1"/>
    <col min="10242" max="10242" width="5.7109375" style="263" customWidth="1"/>
    <col min="10243" max="10243" width="35.7109375" style="263" customWidth="1"/>
    <col min="10244" max="10244" width="11.7109375" style="263" customWidth="1"/>
    <col min="10245" max="10245" width="10.42578125" style="263" customWidth="1"/>
    <col min="10246" max="10246" width="6.85546875" style="263" customWidth="1"/>
    <col min="10247" max="10247" width="12.28515625" style="263" customWidth="1"/>
    <col min="10248" max="10248" width="11.42578125" style="263"/>
    <col min="10249" max="10249" width="14.85546875" style="263" customWidth="1"/>
    <col min="10250" max="10250" width="16.5703125" style="263" customWidth="1"/>
    <col min="10251" max="10496" width="11.42578125" style="263"/>
    <col min="10497" max="10497" width="15" style="263" customWidth="1"/>
    <col min="10498" max="10498" width="5.7109375" style="263" customWidth="1"/>
    <col min="10499" max="10499" width="35.7109375" style="263" customWidth="1"/>
    <col min="10500" max="10500" width="11.7109375" style="263" customWidth="1"/>
    <col min="10501" max="10501" width="10.42578125" style="263" customWidth="1"/>
    <col min="10502" max="10502" width="6.85546875" style="263" customWidth="1"/>
    <col min="10503" max="10503" width="12.28515625" style="263" customWidth="1"/>
    <col min="10504" max="10504" width="11.42578125" style="263"/>
    <col min="10505" max="10505" width="14.85546875" style="263" customWidth="1"/>
    <col min="10506" max="10506" width="16.5703125" style="263" customWidth="1"/>
    <col min="10507" max="10752" width="11.42578125" style="263"/>
    <col min="10753" max="10753" width="15" style="263" customWidth="1"/>
    <col min="10754" max="10754" width="5.7109375" style="263" customWidth="1"/>
    <col min="10755" max="10755" width="35.7109375" style="263" customWidth="1"/>
    <col min="10756" max="10756" width="11.7109375" style="263" customWidth="1"/>
    <col min="10757" max="10757" width="10.42578125" style="263" customWidth="1"/>
    <col min="10758" max="10758" width="6.85546875" style="263" customWidth="1"/>
    <col min="10759" max="10759" width="12.28515625" style="263" customWidth="1"/>
    <col min="10760" max="10760" width="11.42578125" style="263"/>
    <col min="10761" max="10761" width="14.85546875" style="263" customWidth="1"/>
    <col min="10762" max="10762" width="16.5703125" style="263" customWidth="1"/>
    <col min="10763" max="11008" width="11.42578125" style="263"/>
    <col min="11009" max="11009" width="15" style="263" customWidth="1"/>
    <col min="11010" max="11010" width="5.7109375" style="263" customWidth="1"/>
    <col min="11011" max="11011" width="35.7109375" style="263" customWidth="1"/>
    <col min="11012" max="11012" width="11.7109375" style="263" customWidth="1"/>
    <col min="11013" max="11013" width="10.42578125" style="263" customWidth="1"/>
    <col min="11014" max="11014" width="6.85546875" style="263" customWidth="1"/>
    <col min="11015" max="11015" width="12.28515625" style="263" customWidth="1"/>
    <col min="11016" max="11016" width="11.42578125" style="263"/>
    <col min="11017" max="11017" width="14.85546875" style="263" customWidth="1"/>
    <col min="11018" max="11018" width="16.5703125" style="263" customWidth="1"/>
    <col min="11019" max="11264" width="11.42578125" style="263"/>
    <col min="11265" max="11265" width="15" style="263" customWidth="1"/>
    <col min="11266" max="11266" width="5.7109375" style="263" customWidth="1"/>
    <col min="11267" max="11267" width="35.7109375" style="263" customWidth="1"/>
    <col min="11268" max="11268" width="11.7109375" style="263" customWidth="1"/>
    <col min="11269" max="11269" width="10.42578125" style="263" customWidth="1"/>
    <col min="11270" max="11270" width="6.85546875" style="263" customWidth="1"/>
    <col min="11271" max="11271" width="12.28515625" style="263" customWidth="1"/>
    <col min="11272" max="11272" width="11.42578125" style="263"/>
    <col min="11273" max="11273" width="14.85546875" style="263" customWidth="1"/>
    <col min="11274" max="11274" width="16.5703125" style="263" customWidth="1"/>
    <col min="11275" max="11520" width="11.42578125" style="263"/>
    <col min="11521" max="11521" width="15" style="263" customWidth="1"/>
    <col min="11522" max="11522" width="5.7109375" style="263" customWidth="1"/>
    <col min="11523" max="11523" width="35.7109375" style="263" customWidth="1"/>
    <col min="11524" max="11524" width="11.7109375" style="263" customWidth="1"/>
    <col min="11525" max="11525" width="10.42578125" style="263" customWidth="1"/>
    <col min="11526" max="11526" width="6.85546875" style="263" customWidth="1"/>
    <col min="11527" max="11527" width="12.28515625" style="263" customWidth="1"/>
    <col min="11528" max="11528" width="11.42578125" style="263"/>
    <col min="11529" max="11529" width="14.85546875" style="263" customWidth="1"/>
    <col min="11530" max="11530" width="16.5703125" style="263" customWidth="1"/>
    <col min="11531" max="11776" width="11.42578125" style="263"/>
    <col min="11777" max="11777" width="15" style="263" customWidth="1"/>
    <col min="11778" max="11778" width="5.7109375" style="263" customWidth="1"/>
    <col min="11779" max="11779" width="35.7109375" style="263" customWidth="1"/>
    <col min="11780" max="11780" width="11.7109375" style="263" customWidth="1"/>
    <col min="11781" max="11781" width="10.42578125" style="263" customWidth="1"/>
    <col min="11782" max="11782" width="6.85546875" style="263" customWidth="1"/>
    <col min="11783" max="11783" width="12.28515625" style="263" customWidth="1"/>
    <col min="11784" max="11784" width="11.42578125" style="263"/>
    <col min="11785" max="11785" width="14.85546875" style="263" customWidth="1"/>
    <col min="11786" max="11786" width="16.5703125" style="263" customWidth="1"/>
    <col min="11787" max="12032" width="11.42578125" style="263"/>
    <col min="12033" max="12033" width="15" style="263" customWidth="1"/>
    <col min="12034" max="12034" width="5.7109375" style="263" customWidth="1"/>
    <col min="12035" max="12035" width="35.7109375" style="263" customWidth="1"/>
    <col min="12036" max="12036" width="11.7109375" style="263" customWidth="1"/>
    <col min="12037" max="12037" width="10.42578125" style="263" customWidth="1"/>
    <col min="12038" max="12038" width="6.85546875" style="263" customWidth="1"/>
    <col min="12039" max="12039" width="12.28515625" style="263" customWidth="1"/>
    <col min="12040" max="12040" width="11.42578125" style="263"/>
    <col min="12041" max="12041" width="14.85546875" style="263" customWidth="1"/>
    <col min="12042" max="12042" width="16.5703125" style="263" customWidth="1"/>
    <col min="12043" max="12288" width="11.42578125" style="263"/>
    <col min="12289" max="12289" width="15" style="263" customWidth="1"/>
    <col min="12290" max="12290" width="5.7109375" style="263" customWidth="1"/>
    <col min="12291" max="12291" width="35.7109375" style="263" customWidth="1"/>
    <col min="12292" max="12292" width="11.7109375" style="263" customWidth="1"/>
    <col min="12293" max="12293" width="10.42578125" style="263" customWidth="1"/>
    <col min="12294" max="12294" width="6.85546875" style="263" customWidth="1"/>
    <col min="12295" max="12295" width="12.28515625" style="263" customWidth="1"/>
    <col min="12296" max="12296" width="11.42578125" style="263"/>
    <col min="12297" max="12297" width="14.85546875" style="263" customWidth="1"/>
    <col min="12298" max="12298" width="16.5703125" style="263" customWidth="1"/>
    <col min="12299" max="12544" width="11.42578125" style="263"/>
    <col min="12545" max="12545" width="15" style="263" customWidth="1"/>
    <col min="12546" max="12546" width="5.7109375" style="263" customWidth="1"/>
    <col min="12547" max="12547" width="35.7109375" style="263" customWidth="1"/>
    <col min="12548" max="12548" width="11.7109375" style="263" customWidth="1"/>
    <col min="12549" max="12549" width="10.42578125" style="263" customWidth="1"/>
    <col min="12550" max="12550" width="6.85546875" style="263" customWidth="1"/>
    <col min="12551" max="12551" width="12.28515625" style="263" customWidth="1"/>
    <col min="12552" max="12552" width="11.42578125" style="263"/>
    <col min="12553" max="12553" width="14.85546875" style="263" customWidth="1"/>
    <col min="12554" max="12554" width="16.5703125" style="263" customWidth="1"/>
    <col min="12555" max="12800" width="11.42578125" style="263"/>
    <col min="12801" max="12801" width="15" style="263" customWidth="1"/>
    <col min="12802" max="12802" width="5.7109375" style="263" customWidth="1"/>
    <col min="12803" max="12803" width="35.7109375" style="263" customWidth="1"/>
    <col min="12804" max="12804" width="11.7109375" style="263" customWidth="1"/>
    <col min="12805" max="12805" width="10.42578125" style="263" customWidth="1"/>
    <col min="12806" max="12806" width="6.85546875" style="263" customWidth="1"/>
    <col min="12807" max="12807" width="12.28515625" style="263" customWidth="1"/>
    <col min="12808" max="12808" width="11.42578125" style="263"/>
    <col min="12809" max="12809" width="14.85546875" style="263" customWidth="1"/>
    <col min="12810" max="12810" width="16.5703125" style="263" customWidth="1"/>
    <col min="12811" max="13056" width="11.42578125" style="263"/>
    <col min="13057" max="13057" width="15" style="263" customWidth="1"/>
    <col min="13058" max="13058" width="5.7109375" style="263" customWidth="1"/>
    <col min="13059" max="13059" width="35.7109375" style="263" customWidth="1"/>
    <col min="13060" max="13060" width="11.7109375" style="263" customWidth="1"/>
    <col min="13061" max="13061" width="10.42578125" style="263" customWidth="1"/>
    <col min="13062" max="13062" width="6.85546875" style="263" customWidth="1"/>
    <col min="13063" max="13063" width="12.28515625" style="263" customWidth="1"/>
    <col min="13064" max="13064" width="11.42578125" style="263"/>
    <col min="13065" max="13065" width="14.85546875" style="263" customWidth="1"/>
    <col min="13066" max="13066" width="16.5703125" style="263" customWidth="1"/>
    <col min="13067" max="13312" width="11.42578125" style="263"/>
    <col min="13313" max="13313" width="15" style="263" customWidth="1"/>
    <col min="13314" max="13314" width="5.7109375" style="263" customWidth="1"/>
    <col min="13315" max="13315" width="35.7109375" style="263" customWidth="1"/>
    <col min="13316" max="13316" width="11.7109375" style="263" customWidth="1"/>
    <col min="13317" max="13317" width="10.42578125" style="263" customWidth="1"/>
    <col min="13318" max="13318" width="6.85546875" style="263" customWidth="1"/>
    <col min="13319" max="13319" width="12.28515625" style="263" customWidth="1"/>
    <col min="13320" max="13320" width="11.42578125" style="263"/>
    <col min="13321" max="13321" width="14.85546875" style="263" customWidth="1"/>
    <col min="13322" max="13322" width="16.5703125" style="263" customWidth="1"/>
    <col min="13323" max="13568" width="11.42578125" style="263"/>
    <col min="13569" max="13569" width="15" style="263" customWidth="1"/>
    <col min="13570" max="13570" width="5.7109375" style="263" customWidth="1"/>
    <col min="13571" max="13571" width="35.7109375" style="263" customWidth="1"/>
    <col min="13572" max="13572" width="11.7109375" style="263" customWidth="1"/>
    <col min="13573" max="13573" width="10.42578125" style="263" customWidth="1"/>
    <col min="13574" max="13574" width="6.85546875" style="263" customWidth="1"/>
    <col min="13575" max="13575" width="12.28515625" style="263" customWidth="1"/>
    <col min="13576" max="13576" width="11.42578125" style="263"/>
    <col min="13577" max="13577" width="14.85546875" style="263" customWidth="1"/>
    <col min="13578" max="13578" width="16.5703125" style="263" customWidth="1"/>
    <col min="13579" max="13824" width="11.42578125" style="263"/>
    <col min="13825" max="13825" width="15" style="263" customWidth="1"/>
    <col min="13826" max="13826" width="5.7109375" style="263" customWidth="1"/>
    <col min="13827" max="13827" width="35.7109375" style="263" customWidth="1"/>
    <col min="13828" max="13828" width="11.7109375" style="263" customWidth="1"/>
    <col min="13829" max="13829" width="10.42578125" style="263" customWidth="1"/>
    <col min="13830" max="13830" width="6.85546875" style="263" customWidth="1"/>
    <col min="13831" max="13831" width="12.28515625" style="263" customWidth="1"/>
    <col min="13832" max="13832" width="11.42578125" style="263"/>
    <col min="13833" max="13833" width="14.85546875" style="263" customWidth="1"/>
    <col min="13834" max="13834" width="16.5703125" style="263" customWidth="1"/>
    <col min="13835" max="14080" width="11.42578125" style="263"/>
    <col min="14081" max="14081" width="15" style="263" customWidth="1"/>
    <col min="14082" max="14082" width="5.7109375" style="263" customWidth="1"/>
    <col min="14083" max="14083" width="35.7109375" style="263" customWidth="1"/>
    <col min="14084" max="14084" width="11.7109375" style="263" customWidth="1"/>
    <col min="14085" max="14085" width="10.42578125" style="263" customWidth="1"/>
    <col min="14086" max="14086" width="6.85546875" style="263" customWidth="1"/>
    <col min="14087" max="14087" width="12.28515625" style="263" customWidth="1"/>
    <col min="14088" max="14088" width="11.42578125" style="263"/>
    <col min="14089" max="14089" width="14.85546875" style="263" customWidth="1"/>
    <col min="14090" max="14090" width="16.5703125" style="263" customWidth="1"/>
    <col min="14091" max="14336" width="11.42578125" style="263"/>
    <col min="14337" max="14337" width="15" style="263" customWidth="1"/>
    <col min="14338" max="14338" width="5.7109375" style="263" customWidth="1"/>
    <col min="14339" max="14339" width="35.7109375" style="263" customWidth="1"/>
    <col min="14340" max="14340" width="11.7109375" style="263" customWidth="1"/>
    <col min="14341" max="14341" width="10.42578125" style="263" customWidth="1"/>
    <col min="14342" max="14342" width="6.85546875" style="263" customWidth="1"/>
    <col min="14343" max="14343" width="12.28515625" style="263" customWidth="1"/>
    <col min="14344" max="14344" width="11.42578125" style="263"/>
    <col min="14345" max="14345" width="14.85546875" style="263" customWidth="1"/>
    <col min="14346" max="14346" width="16.5703125" style="263" customWidth="1"/>
    <col min="14347" max="14592" width="11.42578125" style="263"/>
    <col min="14593" max="14593" width="15" style="263" customWidth="1"/>
    <col min="14594" max="14594" width="5.7109375" style="263" customWidth="1"/>
    <col min="14595" max="14595" width="35.7109375" style="263" customWidth="1"/>
    <col min="14596" max="14596" width="11.7109375" style="263" customWidth="1"/>
    <col min="14597" max="14597" width="10.42578125" style="263" customWidth="1"/>
    <col min="14598" max="14598" width="6.85546875" style="263" customWidth="1"/>
    <col min="14599" max="14599" width="12.28515625" style="263" customWidth="1"/>
    <col min="14600" max="14600" width="11.42578125" style="263"/>
    <col min="14601" max="14601" width="14.85546875" style="263" customWidth="1"/>
    <col min="14602" max="14602" width="16.5703125" style="263" customWidth="1"/>
    <col min="14603" max="14848" width="11.42578125" style="263"/>
    <col min="14849" max="14849" width="15" style="263" customWidth="1"/>
    <col min="14850" max="14850" width="5.7109375" style="263" customWidth="1"/>
    <col min="14851" max="14851" width="35.7109375" style="263" customWidth="1"/>
    <col min="14852" max="14852" width="11.7109375" style="263" customWidth="1"/>
    <col min="14853" max="14853" width="10.42578125" style="263" customWidth="1"/>
    <col min="14854" max="14854" width="6.85546875" style="263" customWidth="1"/>
    <col min="14855" max="14855" width="12.28515625" style="263" customWidth="1"/>
    <col min="14856" max="14856" width="11.42578125" style="263"/>
    <col min="14857" max="14857" width="14.85546875" style="263" customWidth="1"/>
    <col min="14858" max="14858" width="16.5703125" style="263" customWidth="1"/>
    <col min="14859" max="15104" width="11.42578125" style="263"/>
    <col min="15105" max="15105" width="15" style="263" customWidth="1"/>
    <col min="15106" max="15106" width="5.7109375" style="263" customWidth="1"/>
    <col min="15107" max="15107" width="35.7109375" style="263" customWidth="1"/>
    <col min="15108" max="15108" width="11.7109375" style="263" customWidth="1"/>
    <col min="15109" max="15109" width="10.42578125" style="263" customWidth="1"/>
    <col min="15110" max="15110" width="6.85546875" style="263" customWidth="1"/>
    <col min="15111" max="15111" width="12.28515625" style="263" customWidth="1"/>
    <col min="15112" max="15112" width="11.42578125" style="263"/>
    <col min="15113" max="15113" width="14.85546875" style="263" customWidth="1"/>
    <col min="15114" max="15114" width="16.5703125" style="263" customWidth="1"/>
    <col min="15115" max="15360" width="11.42578125" style="263"/>
    <col min="15361" max="15361" width="15" style="263" customWidth="1"/>
    <col min="15362" max="15362" width="5.7109375" style="263" customWidth="1"/>
    <col min="15363" max="15363" width="35.7109375" style="263" customWidth="1"/>
    <col min="15364" max="15364" width="11.7109375" style="263" customWidth="1"/>
    <col min="15365" max="15365" width="10.42578125" style="263" customWidth="1"/>
    <col min="15366" max="15366" width="6.85546875" style="263" customWidth="1"/>
    <col min="15367" max="15367" width="12.28515625" style="263" customWidth="1"/>
    <col min="15368" max="15368" width="11.42578125" style="263"/>
    <col min="15369" max="15369" width="14.85546875" style="263" customWidth="1"/>
    <col min="15370" max="15370" width="16.5703125" style="263" customWidth="1"/>
    <col min="15371" max="15616" width="11.42578125" style="263"/>
    <col min="15617" max="15617" width="15" style="263" customWidth="1"/>
    <col min="15618" max="15618" width="5.7109375" style="263" customWidth="1"/>
    <col min="15619" max="15619" width="35.7109375" style="263" customWidth="1"/>
    <col min="15620" max="15620" width="11.7109375" style="263" customWidth="1"/>
    <col min="15621" max="15621" width="10.42578125" style="263" customWidth="1"/>
    <col min="15622" max="15622" width="6.85546875" style="263" customWidth="1"/>
    <col min="15623" max="15623" width="12.28515625" style="263" customWidth="1"/>
    <col min="15624" max="15624" width="11.42578125" style="263"/>
    <col min="15625" max="15625" width="14.85546875" style="263" customWidth="1"/>
    <col min="15626" max="15626" width="16.5703125" style="263" customWidth="1"/>
    <col min="15627" max="15872" width="11.42578125" style="263"/>
    <col min="15873" max="15873" width="15" style="263" customWidth="1"/>
    <col min="15874" max="15874" width="5.7109375" style="263" customWidth="1"/>
    <col min="15875" max="15875" width="35.7109375" style="263" customWidth="1"/>
    <col min="15876" max="15876" width="11.7109375" style="263" customWidth="1"/>
    <col min="15877" max="15877" width="10.42578125" style="263" customWidth="1"/>
    <col min="15878" max="15878" width="6.85546875" style="263" customWidth="1"/>
    <col min="15879" max="15879" width="12.28515625" style="263" customWidth="1"/>
    <col min="15880" max="15880" width="11.42578125" style="263"/>
    <col min="15881" max="15881" width="14.85546875" style="263" customWidth="1"/>
    <col min="15882" max="15882" width="16.5703125" style="263" customWidth="1"/>
    <col min="15883" max="16128" width="11.42578125" style="263"/>
    <col min="16129" max="16129" width="15" style="263" customWidth="1"/>
    <col min="16130" max="16130" width="5.7109375" style="263" customWidth="1"/>
    <col min="16131" max="16131" width="35.7109375" style="263" customWidth="1"/>
    <col min="16132" max="16132" width="11.7109375" style="263" customWidth="1"/>
    <col min="16133" max="16133" width="10.42578125" style="263" customWidth="1"/>
    <col min="16134" max="16134" width="6.85546875" style="263" customWidth="1"/>
    <col min="16135" max="16135" width="12.28515625" style="263" customWidth="1"/>
    <col min="16136" max="16136" width="11.42578125" style="263"/>
    <col min="16137" max="16137" width="14.85546875" style="263" customWidth="1"/>
    <col min="16138" max="16138" width="16.5703125" style="263" customWidth="1"/>
    <col min="16139" max="16384" width="11.42578125" style="263"/>
  </cols>
  <sheetData>
    <row r="1" spans="3:10" x14ac:dyDescent="0.2">
      <c r="C1" s="263" t="s">
        <v>790</v>
      </c>
    </row>
    <row r="2" spans="3:10" ht="30.75" customHeight="1" x14ac:dyDescent="0.2">
      <c r="C2" s="842" t="s">
        <v>921</v>
      </c>
      <c r="D2" s="842"/>
      <c r="E2" s="842"/>
      <c r="F2" s="842"/>
      <c r="G2" s="842"/>
      <c r="H2" s="843"/>
      <c r="I2" s="843"/>
    </row>
    <row r="3" spans="3:10" ht="30.75" customHeight="1" x14ac:dyDescent="0.2">
      <c r="C3" s="842"/>
      <c r="D3" s="842"/>
      <c r="E3" s="842"/>
      <c r="F3" s="842"/>
      <c r="G3" s="842"/>
      <c r="H3" s="843"/>
      <c r="I3" s="843"/>
    </row>
    <row r="5" spans="3:10" ht="15.75" x14ac:dyDescent="0.25">
      <c r="C5" s="841" t="s">
        <v>807</v>
      </c>
      <c r="D5" s="841"/>
      <c r="E5" s="841"/>
      <c r="F5" s="841"/>
      <c r="G5" s="841"/>
      <c r="H5" s="841"/>
      <c r="I5" s="841"/>
    </row>
    <row r="6" spans="3:10" ht="15.75" thickBot="1" x14ac:dyDescent="0.3">
      <c r="C6" s="264"/>
      <c r="D6" s="266" t="s">
        <v>808</v>
      </c>
      <c r="E6" s="836" t="str">
        <f>'CARATULA-DATOS'!$B$5</f>
        <v>REPOTENCIACIÓN Y MODERNIZACIÓN DE LAS REDES DE DISTRIBUCIÓN PRIMARIA Y SECUNDARIA DE LA CIUDADELA SANTA FE, DEL CANTÓN CHONE, CON EL REMPLAZO DE REDES AÉREAS DENUDAS DE BAJO VOLTAJE, POR REDES PREENSAMBLADAS.</v>
      </c>
      <c r="F6" s="836"/>
      <c r="G6" s="265"/>
    </row>
    <row r="7" spans="3:10" ht="13.5" thickBot="1" x14ac:dyDescent="0.25">
      <c r="C7" s="266"/>
      <c r="D7" s="266" t="s">
        <v>791</v>
      </c>
      <c r="E7" s="836" t="str">
        <f>'CARATULA-DATOS'!$B$9</f>
        <v>Chone</v>
      </c>
      <c r="F7" s="836"/>
      <c r="H7" s="278" t="s">
        <v>792</v>
      </c>
      <c r="I7" s="268">
        <f>'CARATULA-DATOS'!$E$9</f>
        <v>80</v>
      </c>
    </row>
    <row r="8" spans="3:10" ht="13.5" thickBot="1" x14ac:dyDescent="0.25">
      <c r="C8" s="266"/>
      <c r="D8" s="266" t="s">
        <v>793</v>
      </c>
      <c r="E8" s="350" t="str">
        <f>'CARATULA-DATOS'!$B$10</f>
        <v>CHONE</v>
      </c>
      <c r="F8" s="351"/>
      <c r="G8" s="267"/>
      <c r="H8" s="278" t="s">
        <v>919</v>
      </c>
      <c r="I8" s="268">
        <v>1.25</v>
      </c>
    </row>
    <row r="9" spans="3:10" ht="13.5" thickBot="1" x14ac:dyDescent="0.25">
      <c r="C9" s="266"/>
      <c r="D9" s="266"/>
      <c r="E9" s="313"/>
      <c r="F9" s="313"/>
      <c r="G9" s="267"/>
      <c r="H9" s="278" t="s">
        <v>920</v>
      </c>
      <c r="I9" s="352">
        <v>0.03</v>
      </c>
    </row>
    <row r="10" spans="3:10" ht="13.5" thickBot="1" x14ac:dyDescent="0.25">
      <c r="H10" s="278" t="s">
        <v>919</v>
      </c>
      <c r="I10" s="353">
        <f>ROUND(I8*I9,2)+I8</f>
        <v>1.29</v>
      </c>
    </row>
    <row r="11" spans="3:10" s="281" customFormat="1" ht="39" customHeight="1" thickBot="1" x14ac:dyDescent="0.25">
      <c r="C11" s="279" t="s">
        <v>794</v>
      </c>
      <c r="D11" s="844" t="s">
        <v>795</v>
      </c>
      <c r="E11" s="845"/>
      <c r="F11" s="279" t="s">
        <v>53</v>
      </c>
      <c r="G11" s="279" t="s">
        <v>809</v>
      </c>
      <c r="H11" s="279" t="s">
        <v>811</v>
      </c>
      <c r="I11" s="279" t="s">
        <v>810</v>
      </c>
      <c r="J11" s="280"/>
    </row>
    <row r="12" spans="3:10" x14ac:dyDescent="0.2">
      <c r="C12" s="269">
        <v>1</v>
      </c>
      <c r="D12" s="837" t="s">
        <v>812</v>
      </c>
      <c r="E12" s="839"/>
      <c r="F12" s="283" t="s">
        <v>61</v>
      </c>
      <c r="G12" s="269">
        <f>'MODELO DE PRESUPUESTO'!F12</f>
        <v>1.32</v>
      </c>
      <c r="H12" s="270">
        <v>130.5</v>
      </c>
      <c r="I12" s="354">
        <f>ROUND(G12*H12,2)/1000</f>
        <v>0.17226</v>
      </c>
      <c r="J12" s="271"/>
    </row>
    <row r="13" spans="3:10" x14ac:dyDescent="0.2">
      <c r="C13" s="269">
        <v>2</v>
      </c>
      <c r="D13" s="837" t="s">
        <v>813</v>
      </c>
      <c r="E13" s="839"/>
      <c r="F13" s="283" t="s">
        <v>61</v>
      </c>
      <c r="G13" s="269">
        <f>'MODELO DE PRESUPUESTO'!F16</f>
        <v>2.64</v>
      </c>
      <c r="H13" s="270">
        <v>941</v>
      </c>
      <c r="I13" s="269">
        <f t="shared" ref="I13:I40" si="0">ROUND(G13*H13,2)/1000</f>
        <v>2.4842399999999998</v>
      </c>
      <c r="J13" s="272"/>
    </row>
    <row r="14" spans="3:10" x14ac:dyDescent="0.2">
      <c r="C14" s="269">
        <v>3</v>
      </c>
      <c r="D14" s="837" t="s">
        <v>816</v>
      </c>
      <c r="E14" s="838"/>
      <c r="F14" s="283" t="s">
        <v>61</v>
      </c>
      <c r="G14" s="269">
        <v>0</v>
      </c>
      <c r="H14" s="270">
        <v>99</v>
      </c>
      <c r="I14" s="269">
        <f t="shared" si="0"/>
        <v>0</v>
      </c>
      <c r="J14" s="272"/>
    </row>
    <row r="15" spans="3:10" x14ac:dyDescent="0.2">
      <c r="C15" s="269">
        <v>4</v>
      </c>
      <c r="D15" s="837" t="s">
        <v>817</v>
      </c>
      <c r="E15" s="838"/>
      <c r="F15" s="283" t="s">
        <v>61</v>
      </c>
      <c r="G15" s="269">
        <v>0</v>
      </c>
      <c r="H15" s="270">
        <v>162</v>
      </c>
      <c r="I15" s="269">
        <f t="shared" si="0"/>
        <v>0</v>
      </c>
      <c r="J15" s="272"/>
    </row>
    <row r="16" spans="3:10" x14ac:dyDescent="0.2">
      <c r="C16" s="269">
        <v>5</v>
      </c>
      <c r="D16" s="837" t="s">
        <v>814</v>
      </c>
      <c r="E16" s="838"/>
      <c r="F16" s="283" t="s">
        <v>61</v>
      </c>
      <c r="G16" s="269">
        <v>0</v>
      </c>
      <c r="H16" s="270">
        <v>189</v>
      </c>
      <c r="I16" s="269">
        <f t="shared" si="0"/>
        <v>0</v>
      </c>
      <c r="J16" s="272"/>
    </row>
    <row r="17" spans="3:11" x14ac:dyDescent="0.2">
      <c r="C17" s="269">
        <v>6</v>
      </c>
      <c r="D17" s="837" t="s">
        <v>815</v>
      </c>
      <c r="E17" s="838"/>
      <c r="F17" s="283" t="s">
        <v>61</v>
      </c>
      <c r="G17" s="269">
        <f>'MODELO DE PRESUPUESTO'!F140/1000</f>
        <v>3.39</v>
      </c>
      <c r="H17" s="270">
        <v>269</v>
      </c>
      <c r="I17" s="269">
        <f t="shared" si="0"/>
        <v>0.91191</v>
      </c>
      <c r="J17" s="272"/>
    </row>
    <row r="18" spans="3:11" x14ac:dyDescent="0.2">
      <c r="C18" s="269">
        <v>7</v>
      </c>
      <c r="D18" s="837" t="s">
        <v>822</v>
      </c>
      <c r="E18" s="839"/>
      <c r="F18" s="269" t="s">
        <v>796</v>
      </c>
      <c r="G18" s="269">
        <f>'MODELO DE PRESUPUESTO'!F159</f>
        <v>0</v>
      </c>
      <c r="H18" s="270">
        <v>13.44</v>
      </c>
      <c r="I18" s="269">
        <f t="shared" si="0"/>
        <v>0</v>
      </c>
      <c r="J18" s="272"/>
    </row>
    <row r="19" spans="3:11" x14ac:dyDescent="0.2">
      <c r="C19" s="269">
        <v>8</v>
      </c>
      <c r="D19" s="837" t="s">
        <v>823</v>
      </c>
      <c r="E19" s="839"/>
      <c r="F19" s="269" t="s">
        <v>796</v>
      </c>
      <c r="G19" s="269">
        <f>'MODELO DE PRESUPUESTO'!F158</f>
        <v>21</v>
      </c>
      <c r="H19" s="270">
        <v>7.7097505668934234</v>
      </c>
      <c r="I19" s="269">
        <f t="shared" si="0"/>
        <v>0.16190000000000002</v>
      </c>
      <c r="J19" s="272"/>
      <c r="K19" s="273"/>
    </row>
    <row r="20" spans="3:11" x14ac:dyDescent="0.2">
      <c r="C20" s="269">
        <v>9</v>
      </c>
      <c r="D20" s="837" t="s">
        <v>824</v>
      </c>
      <c r="E20" s="839"/>
      <c r="F20" s="269" t="s">
        <v>796</v>
      </c>
      <c r="G20" s="269">
        <f>'MODELO DE PRESUPUESTO'!F160</f>
        <v>28</v>
      </c>
      <c r="H20" s="270">
        <v>5.4421768707482991</v>
      </c>
      <c r="I20" s="269">
        <f t="shared" si="0"/>
        <v>0.15237999999999999</v>
      </c>
      <c r="J20" s="274"/>
      <c r="K20" s="273"/>
    </row>
    <row r="21" spans="3:11" x14ac:dyDescent="0.2">
      <c r="C21" s="269">
        <v>10</v>
      </c>
      <c r="D21" s="837" t="s">
        <v>825</v>
      </c>
      <c r="E21" s="839"/>
      <c r="F21" s="269" t="s">
        <v>796</v>
      </c>
      <c r="G21" s="269">
        <f>'MODELO DE PRESUPUESTO'!F162</f>
        <v>0</v>
      </c>
      <c r="H21" s="270">
        <v>7.7097505668934234</v>
      </c>
      <c r="I21" s="269">
        <f t="shared" si="0"/>
        <v>0</v>
      </c>
      <c r="J21" s="274"/>
      <c r="K21" s="273"/>
    </row>
    <row r="22" spans="3:11" x14ac:dyDescent="0.2">
      <c r="C22" s="269">
        <v>11</v>
      </c>
      <c r="D22" s="837" t="s">
        <v>826</v>
      </c>
      <c r="E22" s="839"/>
      <c r="F22" s="269" t="s">
        <v>796</v>
      </c>
      <c r="G22" s="269">
        <f>'MODELO DE PRESUPUESTO'!F161</f>
        <v>0</v>
      </c>
      <c r="H22" s="270">
        <v>7.2562358276643986</v>
      </c>
      <c r="I22" s="269">
        <f t="shared" si="0"/>
        <v>0</v>
      </c>
      <c r="J22" s="274"/>
      <c r="K22" s="273"/>
    </row>
    <row r="23" spans="3:11" x14ac:dyDescent="0.2">
      <c r="C23" s="269">
        <v>12</v>
      </c>
      <c r="D23" s="837" t="s">
        <v>827</v>
      </c>
      <c r="E23" s="839"/>
      <c r="F23" s="269" t="s">
        <v>796</v>
      </c>
      <c r="G23" s="269">
        <f>'MODELO DE PRESUPUESTO'!F184</f>
        <v>1</v>
      </c>
      <c r="H23" s="270">
        <v>45.8</v>
      </c>
      <c r="I23" s="269">
        <f t="shared" si="0"/>
        <v>4.58E-2</v>
      </c>
      <c r="J23" s="274"/>
      <c r="K23" s="273"/>
    </row>
    <row r="24" spans="3:11" x14ac:dyDescent="0.2">
      <c r="C24" s="269">
        <v>13</v>
      </c>
      <c r="D24" s="837" t="s">
        <v>828</v>
      </c>
      <c r="E24" s="839"/>
      <c r="F24" s="269" t="s">
        <v>796</v>
      </c>
      <c r="G24" s="269">
        <f>'MODELO DE PRESUPUESTO'!F185+'MODELO DE PRESUPUESTO'!F186</f>
        <v>36</v>
      </c>
      <c r="H24" s="270">
        <v>40.816326530612244</v>
      </c>
      <c r="I24" s="269">
        <f t="shared" si="0"/>
        <v>1.4693900000000002</v>
      </c>
      <c r="J24" s="274"/>
      <c r="K24" s="273"/>
    </row>
    <row r="25" spans="3:11" x14ac:dyDescent="0.2">
      <c r="C25" s="269">
        <v>14</v>
      </c>
      <c r="D25" s="837" t="s">
        <v>829</v>
      </c>
      <c r="E25" s="839"/>
      <c r="F25" s="269" t="s">
        <v>796</v>
      </c>
      <c r="G25" s="269">
        <f>'MODELO DE PRESUPUESTO'!F187+'MODELO DE PRESUPUESTO'!F188</f>
        <v>0</v>
      </c>
      <c r="H25" s="270">
        <v>49.886621315192741</v>
      </c>
      <c r="I25" s="269">
        <f t="shared" si="0"/>
        <v>0</v>
      </c>
      <c r="J25" s="272"/>
      <c r="K25" s="273"/>
    </row>
    <row r="26" spans="3:11" x14ac:dyDescent="0.2">
      <c r="C26" s="269">
        <v>15</v>
      </c>
      <c r="D26" s="837" t="s">
        <v>820</v>
      </c>
      <c r="E26" s="839"/>
      <c r="F26" s="269" t="s">
        <v>796</v>
      </c>
      <c r="G26" s="269"/>
      <c r="H26" s="270">
        <v>1.3605442176870748</v>
      </c>
      <c r="I26" s="269">
        <f t="shared" si="0"/>
        <v>0</v>
      </c>
      <c r="J26" s="274"/>
      <c r="K26" s="273"/>
    </row>
    <row r="27" spans="3:11" x14ac:dyDescent="0.2">
      <c r="C27" s="269">
        <v>16</v>
      </c>
      <c r="D27" s="837" t="s">
        <v>821</v>
      </c>
      <c r="E27" s="839"/>
      <c r="F27" s="269" t="s">
        <v>796</v>
      </c>
      <c r="G27" s="269"/>
      <c r="H27" s="270">
        <v>2.72</v>
      </c>
      <c r="I27" s="269">
        <f t="shared" si="0"/>
        <v>0</v>
      </c>
      <c r="J27" s="274"/>
      <c r="K27" s="273"/>
    </row>
    <row r="28" spans="3:11" x14ac:dyDescent="0.2">
      <c r="C28" s="269">
        <v>17</v>
      </c>
      <c r="D28" s="837" t="s">
        <v>830</v>
      </c>
      <c r="E28" s="839"/>
      <c r="F28" s="269" t="s">
        <v>796</v>
      </c>
      <c r="G28" s="269">
        <f>'MODELO DE PRESUPUESTO'!F177</f>
        <v>31</v>
      </c>
      <c r="H28" s="270">
        <v>1.36</v>
      </c>
      <c r="I28" s="269">
        <f t="shared" si="0"/>
        <v>4.2159999999999996E-2</v>
      </c>
      <c r="J28" s="274"/>
      <c r="K28" s="273"/>
    </row>
    <row r="29" spans="3:11" x14ac:dyDescent="0.2">
      <c r="C29" s="269">
        <v>18</v>
      </c>
      <c r="D29" s="837" t="s">
        <v>831</v>
      </c>
      <c r="E29" s="839"/>
      <c r="F29" s="269" t="s">
        <v>796</v>
      </c>
      <c r="G29" s="269">
        <f>'MODELO DE PRESUPUESTO'!F179</f>
        <v>78</v>
      </c>
      <c r="H29" s="270">
        <v>1.36</v>
      </c>
      <c r="I29" s="269">
        <f t="shared" si="0"/>
        <v>0.10607999999999999</v>
      </c>
      <c r="J29" s="274"/>
      <c r="K29" s="273"/>
    </row>
    <row r="30" spans="3:11" x14ac:dyDescent="0.2">
      <c r="C30" s="269">
        <v>19</v>
      </c>
      <c r="D30" s="837" t="s">
        <v>819</v>
      </c>
      <c r="E30" s="839"/>
      <c r="F30" s="269" t="s">
        <v>796</v>
      </c>
      <c r="G30" s="269">
        <f>'MODELO DE PRESUPUESTO'!F40</f>
        <v>8</v>
      </c>
      <c r="H30" s="270">
        <f>219+45</f>
        <v>264</v>
      </c>
      <c r="I30" s="269">
        <f t="shared" si="0"/>
        <v>2.1120000000000001</v>
      </c>
      <c r="J30" s="274"/>
      <c r="K30" s="273"/>
    </row>
    <row r="31" spans="3:11" x14ac:dyDescent="0.2">
      <c r="C31" s="269">
        <v>20</v>
      </c>
      <c r="D31" s="837" t="s">
        <v>818</v>
      </c>
      <c r="E31" s="839"/>
      <c r="F31" s="269" t="s">
        <v>796</v>
      </c>
      <c r="G31" s="269">
        <f>'MODELO DE PRESUPUESTO'!F39</f>
        <v>10</v>
      </c>
      <c r="H31" s="270">
        <f>219+25</f>
        <v>244</v>
      </c>
      <c r="I31" s="269">
        <f t="shared" si="0"/>
        <v>2.44</v>
      </c>
      <c r="J31" s="274"/>
      <c r="K31" s="273"/>
    </row>
    <row r="32" spans="3:11" x14ac:dyDescent="0.2">
      <c r="C32" s="269">
        <v>21</v>
      </c>
      <c r="D32" s="840" t="s">
        <v>797</v>
      </c>
      <c r="E32" s="839"/>
      <c r="F32" s="269" t="s">
        <v>796</v>
      </c>
      <c r="G32" s="269">
        <f>'MODELO DE PRESUPUESTO'!F38</f>
        <v>0</v>
      </c>
      <c r="H32" s="270">
        <v>219.95464852607708</v>
      </c>
      <c r="I32" s="269">
        <f t="shared" si="0"/>
        <v>0</v>
      </c>
      <c r="J32" s="274"/>
      <c r="K32" s="273"/>
    </row>
    <row r="33" spans="3:11" x14ac:dyDescent="0.2">
      <c r="C33" s="269">
        <v>22</v>
      </c>
      <c r="D33" s="840" t="s">
        <v>798</v>
      </c>
      <c r="E33" s="839"/>
      <c r="F33" s="269" t="s">
        <v>796</v>
      </c>
      <c r="G33" s="269">
        <f>'MODELO DE PRESUPUESTO'!F37</f>
        <v>0</v>
      </c>
      <c r="H33" s="270">
        <v>181.40589569160997</v>
      </c>
      <c r="I33" s="269">
        <f t="shared" si="0"/>
        <v>0</v>
      </c>
      <c r="J33" s="274"/>
      <c r="K33" s="269"/>
    </row>
    <row r="34" spans="3:11" x14ac:dyDescent="0.2">
      <c r="C34" s="269">
        <v>23</v>
      </c>
      <c r="D34" s="840" t="s">
        <v>799</v>
      </c>
      <c r="E34" s="839"/>
      <c r="F34" s="269" t="s">
        <v>796</v>
      </c>
      <c r="G34" s="269">
        <f>'MODELO DE PRESUPUESTO'!F36</f>
        <v>0</v>
      </c>
      <c r="H34" s="270">
        <v>136.05442176870747</v>
      </c>
      <c r="I34" s="269">
        <f t="shared" si="0"/>
        <v>0</v>
      </c>
      <c r="J34" s="274"/>
      <c r="K34" s="273"/>
    </row>
    <row r="35" spans="3:11" x14ac:dyDescent="0.2">
      <c r="C35" s="269">
        <v>24</v>
      </c>
      <c r="D35" s="840" t="s">
        <v>800</v>
      </c>
      <c r="E35" s="839"/>
      <c r="F35" s="269" t="s">
        <v>796</v>
      </c>
      <c r="G35" s="269">
        <f>'MODELO DE PRESUPUESTO'!F35</f>
        <v>0</v>
      </c>
      <c r="H35" s="270">
        <v>136.05442176870747</v>
      </c>
      <c r="I35" s="269">
        <f t="shared" si="0"/>
        <v>0</v>
      </c>
      <c r="J35" s="274"/>
      <c r="K35" s="273"/>
    </row>
    <row r="36" spans="3:11" x14ac:dyDescent="0.2">
      <c r="C36" s="269">
        <v>25</v>
      </c>
      <c r="D36" s="840" t="s">
        <v>801</v>
      </c>
      <c r="E36" s="839"/>
      <c r="F36" s="269" t="s">
        <v>796</v>
      </c>
      <c r="G36" s="269">
        <v>0</v>
      </c>
      <c r="H36" s="270">
        <v>90.702947845804985</v>
      </c>
      <c r="I36" s="269">
        <f t="shared" si="0"/>
        <v>0</v>
      </c>
      <c r="J36" s="274"/>
      <c r="K36" s="273"/>
    </row>
    <row r="37" spans="3:11" x14ac:dyDescent="0.2">
      <c r="C37" s="269">
        <v>26</v>
      </c>
      <c r="D37" s="840" t="s">
        <v>802</v>
      </c>
      <c r="E37" s="839"/>
      <c r="F37" s="269" t="s">
        <v>796</v>
      </c>
      <c r="G37" s="269">
        <f>'MODELO DE PRESUPUESTO'!F197</f>
        <v>18</v>
      </c>
      <c r="H37" s="270">
        <v>5.4421768707482991</v>
      </c>
      <c r="I37" s="269">
        <f t="shared" si="0"/>
        <v>9.7959999999999992E-2</v>
      </c>
      <c r="J37" s="272"/>
      <c r="K37" s="273"/>
    </row>
    <row r="38" spans="3:11" x14ac:dyDescent="0.2">
      <c r="C38" s="269">
        <v>27</v>
      </c>
      <c r="D38" s="840" t="s">
        <v>803</v>
      </c>
      <c r="E38" s="839"/>
      <c r="F38" s="269" t="s">
        <v>796</v>
      </c>
      <c r="G38" s="269">
        <f>'MODELO DE PRESUPUESTO'!F43</f>
        <v>1</v>
      </c>
      <c r="H38" s="270">
        <v>7.7097505668934234</v>
      </c>
      <c r="I38" s="269">
        <f t="shared" si="0"/>
        <v>7.7099999999999998E-3</v>
      </c>
      <c r="J38" s="274"/>
      <c r="K38" s="273"/>
    </row>
    <row r="39" spans="3:11" x14ac:dyDescent="0.2">
      <c r="C39" s="269">
        <v>28</v>
      </c>
      <c r="D39" s="840" t="s">
        <v>804</v>
      </c>
      <c r="E39" s="839"/>
      <c r="F39" s="269" t="s">
        <v>796</v>
      </c>
      <c r="G39" s="269">
        <f>'MODELO DE PRESUPUESTO'!F47+'MODELO DE PRESUPUESTO'!F48</f>
        <v>96</v>
      </c>
      <c r="H39" s="284">
        <v>4.9886621315192743</v>
      </c>
      <c r="I39" s="269">
        <f t="shared" si="0"/>
        <v>0.47891</v>
      </c>
      <c r="J39" s="274"/>
      <c r="K39" s="270"/>
    </row>
    <row r="40" spans="3:11" ht="13.5" thickBot="1" x14ac:dyDescent="0.25">
      <c r="C40" s="275">
        <v>29</v>
      </c>
      <c r="D40" s="282" t="s">
        <v>805</v>
      </c>
      <c r="E40" s="275"/>
      <c r="F40" s="275" t="s">
        <v>796</v>
      </c>
      <c r="G40" s="275">
        <f>'MODELO DE PRESUPUESTO'!F213</f>
        <v>300</v>
      </c>
      <c r="H40" s="276">
        <v>2</v>
      </c>
      <c r="I40" s="275">
        <f t="shared" si="0"/>
        <v>0.6</v>
      </c>
      <c r="J40" s="274"/>
      <c r="K40" s="276"/>
    </row>
    <row r="41" spans="3:11" x14ac:dyDescent="0.2">
      <c r="C41" s="263" t="s">
        <v>806</v>
      </c>
      <c r="E41" s="834" t="s">
        <v>810</v>
      </c>
      <c r="F41" s="835"/>
      <c r="G41" s="835"/>
      <c r="H41" s="835"/>
      <c r="I41" s="285">
        <f>ROUND((SUM(I12:I40)),2)</f>
        <v>11.28</v>
      </c>
      <c r="J41" s="277"/>
    </row>
  </sheetData>
  <customSheetViews>
    <customSheetView guid="{78BD55B1-68EB-420C-90D4-21A42E09A787}" showPageBreaks="1" printArea="1" state="hidden" view="pageBreakPreview" topLeftCell="A7">
      <selection activeCell="E41" sqref="E41:H41"/>
      <pageMargins left="0.19685039370078741" right="0.75" top="0.62992125984251968" bottom="1" header="0" footer="0"/>
      <printOptions horizontalCentered="1"/>
      <pageSetup scale="90" orientation="portrait" horizontalDpi="120" verticalDpi="144" r:id="rId1"/>
      <headerFooter alignWithMargins="0"/>
    </customSheetView>
    <customSheetView guid="{61D25FAA-9885-4686-B739-70FDA39A07A1}" showPageBreaks="1" printArea="1" state="hidden" view="pageBreakPreview" topLeftCell="A7">
      <selection activeCell="E41" sqref="E41:H41"/>
      <pageMargins left="0.19685039370078741" right="0.75" top="0.62992125984251968" bottom="1" header="0" footer="0"/>
      <printOptions horizontalCentered="1"/>
      <pageSetup scale="90" orientation="portrait" horizontalDpi="120" verticalDpi="144" r:id="rId2"/>
      <headerFooter alignWithMargins="0"/>
    </customSheetView>
  </customSheetViews>
  <mergeCells count="35">
    <mergeCell ref="C5:I5"/>
    <mergeCell ref="C2:G3"/>
    <mergeCell ref="H2:I3"/>
    <mergeCell ref="D11:E11"/>
    <mergeCell ref="D12:E12"/>
    <mergeCell ref="D13:E13"/>
    <mergeCell ref="D18:E18"/>
    <mergeCell ref="D19:E19"/>
    <mergeCell ref="D20:E20"/>
    <mergeCell ref="D21:E21"/>
    <mergeCell ref="D34:E34"/>
    <mergeCell ref="D35:E35"/>
    <mergeCell ref="D28:E28"/>
    <mergeCell ref="D29:E29"/>
    <mergeCell ref="D22:E22"/>
    <mergeCell ref="D24:E24"/>
    <mergeCell ref="D25:E25"/>
    <mergeCell ref="D26:E26"/>
    <mergeCell ref="D32:E32"/>
    <mergeCell ref="E41:H41"/>
    <mergeCell ref="E6:F6"/>
    <mergeCell ref="E7:F7"/>
    <mergeCell ref="D16:E16"/>
    <mergeCell ref="D17:E17"/>
    <mergeCell ref="D14:E14"/>
    <mergeCell ref="D15:E15"/>
    <mergeCell ref="D23:E23"/>
    <mergeCell ref="D31:E31"/>
    <mergeCell ref="D36:E36"/>
    <mergeCell ref="D37:E37"/>
    <mergeCell ref="D38:E38"/>
    <mergeCell ref="D39:E39"/>
    <mergeCell ref="D27:E27"/>
    <mergeCell ref="D30:E30"/>
    <mergeCell ref="D33:E33"/>
  </mergeCells>
  <printOptions horizontalCentered="1"/>
  <pageMargins left="0.19685039370078741" right="0.75" top="0.62992125984251968" bottom="1" header="0" footer="0"/>
  <pageSetup scale="90" orientation="portrait" horizontalDpi="120" verticalDpi="144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09"/>
  <sheetViews>
    <sheetView view="pageBreakPreview" zoomScale="85" zoomScaleNormal="85" zoomScaleSheetLayoutView="85" workbookViewId="0">
      <pane ySplit="9" topLeftCell="A289" activePane="bottomLeft" state="frozen"/>
      <selection pane="bottomLeft" activeCell="G280" sqref="G280:G282"/>
    </sheetView>
  </sheetViews>
  <sheetFormatPr baseColWidth="10" defaultColWidth="11.42578125" defaultRowHeight="12.75" x14ac:dyDescent="0.2"/>
  <cols>
    <col min="1" max="1" width="3.42578125" style="148" customWidth="1"/>
    <col min="2" max="2" width="4.42578125" style="138" customWidth="1"/>
    <col min="3" max="3" width="4.5703125" style="139" customWidth="1"/>
    <col min="4" max="4" width="72.7109375" style="6" customWidth="1"/>
    <col min="5" max="5" width="10.7109375" style="112" customWidth="1"/>
    <col min="6" max="6" width="12.85546875" style="135" customWidth="1"/>
    <col min="7" max="7" width="11.42578125" style="6"/>
    <col min="8" max="8" width="14" style="131" customWidth="1"/>
    <col min="9" max="9" width="13.140625" style="110" customWidth="1"/>
    <col min="10" max="10" width="9.140625" style="110" hidden="1" customWidth="1"/>
    <col min="11" max="20" width="11.42578125" style="110" customWidth="1"/>
    <col min="21" max="16384" width="11.42578125" style="110"/>
  </cols>
  <sheetData>
    <row r="1" spans="1:12" ht="59.25" customHeight="1" x14ac:dyDescent="0.2">
      <c r="A1" s="707" t="str">
        <f>'CARATULA-DATOS'!B1</f>
        <v>Empresa Eléctrica Pública Estratégica Corporación Nacional de Electricidad CNEL EP
Unidad de Negocios Manabí</v>
      </c>
      <c r="B1" s="708"/>
      <c r="C1" s="708"/>
      <c r="D1" s="708"/>
      <c r="E1" s="711"/>
      <c r="F1" s="712"/>
      <c r="G1" s="712"/>
      <c r="H1" s="713"/>
    </row>
    <row r="2" spans="1:12" ht="21" customHeight="1" x14ac:dyDescent="0.2">
      <c r="A2" s="709" t="str">
        <f>'CARATULA-DATOS'!A2</f>
        <v>Programa de Electrificación Rural-Urbano Marginal FERUM 2018</v>
      </c>
      <c r="B2" s="710"/>
      <c r="C2" s="710"/>
      <c r="D2" s="710"/>
      <c r="E2" s="714"/>
      <c r="F2" s="715"/>
      <c r="G2" s="715"/>
      <c r="H2" s="716"/>
    </row>
    <row r="3" spans="1:12" ht="12.75" customHeight="1" x14ac:dyDescent="0.25">
      <c r="A3" s="488"/>
      <c r="B3" s="111"/>
      <c r="C3" s="111"/>
      <c r="D3" s="111"/>
      <c r="E3" s="714"/>
      <c r="F3" s="715"/>
      <c r="G3" s="715"/>
      <c r="H3" s="716"/>
    </row>
    <row r="4" spans="1:12" ht="12.75" customHeight="1" x14ac:dyDescent="0.2">
      <c r="A4" s="731" t="str">
        <f>'CARATULA-DATOS'!A4</f>
        <v>Fecha:</v>
      </c>
      <c r="B4" s="732"/>
      <c r="C4" s="732"/>
      <c r="D4" s="102">
        <f>'CARATULA-DATOS'!B4</f>
        <v>43025</v>
      </c>
      <c r="E4" s="714"/>
      <c r="F4" s="715"/>
      <c r="G4" s="715"/>
      <c r="H4" s="716"/>
    </row>
    <row r="5" spans="1:12" ht="13.5" customHeight="1" x14ac:dyDescent="0.2">
      <c r="A5" s="731" t="str">
        <f>'CARATULA-DATOS'!A5</f>
        <v>Nombre del Proyecto:</v>
      </c>
      <c r="B5" s="732"/>
      <c r="C5" s="732"/>
      <c r="D5" s="9" t="str">
        <f>'CARATULA-DATOS'!B5</f>
        <v>REPOTENCIACIÓN Y MODERNIZACIÓN DE LAS REDES DE DISTRIBUCIÓN PRIMARIA Y SECUNDARIA DE LA CIUDADELA SANTA FE, DEL CANTÓN CHONE, CON EL REMPLAZO DE REDES AÉREAS DENUDAS DE BAJO VOLTAJE, POR REDES PREENSAMBLADAS.</v>
      </c>
      <c r="E5" s="717"/>
      <c r="F5" s="718"/>
      <c r="G5" s="718"/>
      <c r="H5" s="719"/>
    </row>
    <row r="6" spans="1:12" x14ac:dyDescent="0.2">
      <c r="A6" s="731" t="str">
        <f>'CARATULA-DATOS'!$A$9</f>
        <v>Cantón:</v>
      </c>
      <c r="B6" s="732"/>
      <c r="C6" s="732"/>
      <c r="D6" s="9" t="str">
        <f>'CARATULA-DATOS'!$B$9</f>
        <v>Chone</v>
      </c>
      <c r="F6" s="113"/>
      <c r="G6" s="482" t="str">
        <f>'CARATULA-DATOS'!C9</f>
        <v xml:space="preserve">Distancia Manta-Proyecto en KM (Via carrozable):  </v>
      </c>
      <c r="H6" s="489">
        <v>60</v>
      </c>
    </row>
    <row r="7" spans="1:12" x14ac:dyDescent="0.2">
      <c r="A7" s="733" t="str">
        <f>'CARATULA-DATOS'!A10</f>
        <v>Parroquia:</v>
      </c>
      <c r="B7" s="734"/>
      <c r="C7" s="734"/>
      <c r="D7" s="114" t="str">
        <f>'CARATULA-DATOS'!B10</f>
        <v>CHONE</v>
      </c>
      <c r="F7" s="214"/>
      <c r="G7" s="482" t="str">
        <f>'CARATULA-DATOS'!C10</f>
        <v xml:space="preserve">Longitud de via no carrozable KM:  </v>
      </c>
      <c r="H7" s="489">
        <f>'CARATULA-DATOS'!E10</f>
        <v>1</v>
      </c>
    </row>
    <row r="8" spans="1:12" x14ac:dyDescent="0.2">
      <c r="A8" s="490"/>
      <c r="B8" s="115"/>
      <c r="C8" s="116"/>
      <c r="D8" s="117"/>
      <c r="E8" s="118"/>
      <c r="F8" s="119"/>
      <c r="G8" s="118"/>
      <c r="H8" s="491"/>
    </row>
    <row r="9" spans="1:12" ht="26.25" customHeight="1" x14ac:dyDescent="0.2">
      <c r="A9" s="684" t="s">
        <v>52</v>
      </c>
      <c r="B9" s="685"/>
      <c r="C9" s="685"/>
      <c r="D9" s="685"/>
      <c r="E9" s="251" t="s">
        <v>53</v>
      </c>
      <c r="F9" s="252" t="s">
        <v>54</v>
      </c>
      <c r="G9" s="251" t="s">
        <v>55</v>
      </c>
      <c r="H9" s="492" t="s">
        <v>57</v>
      </c>
      <c r="L9" s="110">
        <f>'MODELO DE PRESUPUESTO'!F20</f>
        <v>26</v>
      </c>
    </row>
    <row r="10" spans="1:12" ht="18.75" x14ac:dyDescent="0.2">
      <c r="A10" s="493" t="s">
        <v>58</v>
      </c>
      <c r="B10" s="15" t="s">
        <v>724</v>
      </c>
      <c r="C10" s="216"/>
      <c r="D10" s="244"/>
      <c r="E10" s="253"/>
      <c r="F10" s="254"/>
      <c r="G10" s="219"/>
      <c r="H10" s="494"/>
    </row>
    <row r="11" spans="1:12" ht="16.5" thickBot="1" x14ac:dyDescent="0.25">
      <c r="A11" s="226"/>
      <c r="B11" s="294">
        <v>1</v>
      </c>
      <c r="C11" s="217" t="s">
        <v>59</v>
      </c>
      <c r="D11" s="245"/>
      <c r="E11" s="253"/>
      <c r="F11" s="254"/>
      <c r="G11" s="219"/>
      <c r="H11" s="494"/>
      <c r="L11" s="110">
        <f>'MODELO DE PRESUPUESTO'!F35</f>
        <v>0</v>
      </c>
    </row>
    <row r="12" spans="1:12" ht="13.5" thickBot="1" x14ac:dyDescent="0.25">
      <c r="A12" s="226"/>
      <c r="B12" s="295"/>
      <c r="C12" s="471" t="str">
        <f>'BASE DATOS MATERIALES'!A28</f>
        <v>CONDUCTOR DE ALUMINIO DESNUDO CABLEADO ACSR # 2 AWG</v>
      </c>
      <c r="D12" s="246"/>
      <c r="E12" s="253" t="s">
        <v>61</v>
      </c>
      <c r="F12" s="396">
        <f>ROUND((I12*1.02),2)</f>
        <v>1.32</v>
      </c>
      <c r="G12" s="255">
        <f>'BASE DATOS MATERIALES'!D28</f>
        <v>720</v>
      </c>
      <c r="H12" s="495">
        <f>ROUND((F12*G12),2)</f>
        <v>950.4</v>
      </c>
      <c r="I12" s="486">
        <v>1.296</v>
      </c>
    </row>
    <row r="13" spans="1:12" ht="13.5" thickBot="1" x14ac:dyDescent="0.25">
      <c r="A13" s="226"/>
      <c r="B13" s="295"/>
      <c r="C13" s="471" t="str">
        <f>'BASE DATOS MATERIALES'!A29</f>
        <v>CONDUCTOR DE ALUMINIO DESNUDO CABLEADO ACSR # 1/0 AWG</v>
      </c>
      <c r="D13" s="246"/>
      <c r="E13" s="253" t="s">
        <v>61</v>
      </c>
      <c r="F13" s="396">
        <f t="shared" ref="F13:F15" si="0">ROUND((I13*1.02),2)</f>
        <v>0</v>
      </c>
      <c r="G13" s="255">
        <f>'BASE DATOS MATERIALES'!D29</f>
        <v>1040</v>
      </c>
      <c r="H13" s="495">
        <f t="shared" ref="H13:H15" si="1">ROUND((F13*G13),2)</f>
        <v>0</v>
      </c>
      <c r="I13" s="486">
        <v>0</v>
      </c>
    </row>
    <row r="14" spans="1:12" ht="13.5" thickBot="1" x14ac:dyDescent="0.25">
      <c r="A14" s="226"/>
      <c r="B14" s="295"/>
      <c r="C14" s="471" t="str">
        <f>'BASE DATOS MATERIALES'!A30</f>
        <v>CONDUCTOR DE ALUMINIO DESNUDO CABLEADO ACSR # 2/0 AWG</v>
      </c>
      <c r="D14" s="246"/>
      <c r="E14" s="253" t="s">
        <v>61</v>
      </c>
      <c r="F14" s="396">
        <f t="shared" si="0"/>
        <v>0</v>
      </c>
      <c r="G14" s="255">
        <f>'BASE DATOS MATERIALES'!D30</f>
        <v>1340</v>
      </c>
      <c r="H14" s="495">
        <f t="shared" si="1"/>
        <v>0</v>
      </c>
      <c r="I14" s="486">
        <v>0</v>
      </c>
    </row>
    <row r="15" spans="1:12" ht="13.5" thickBot="1" x14ac:dyDescent="0.25">
      <c r="A15" s="226"/>
      <c r="B15" s="295"/>
      <c r="C15" s="471" t="str">
        <f>'BASE DATOS MATERIALES'!A31</f>
        <v>CONDUCTOR DE ALUMINIO DESNUDO CABLEADO ACSR # 3/0 AWG</v>
      </c>
      <c r="D15" s="246"/>
      <c r="E15" s="253" t="s">
        <v>61</v>
      </c>
      <c r="F15" s="396">
        <f t="shared" si="0"/>
        <v>0</v>
      </c>
      <c r="G15" s="255">
        <f>'BASE DATOS MATERIALES'!D31</f>
        <v>1740</v>
      </c>
      <c r="H15" s="495">
        <f t="shared" si="1"/>
        <v>0</v>
      </c>
      <c r="I15" s="486">
        <v>0</v>
      </c>
    </row>
    <row r="16" spans="1:12" ht="13.5" thickBot="1" x14ac:dyDescent="0.25">
      <c r="A16" s="496"/>
      <c r="B16" s="295"/>
      <c r="C16" s="218" t="s">
        <v>922</v>
      </c>
      <c r="D16" s="246"/>
      <c r="E16" s="253" t="s">
        <v>61</v>
      </c>
      <c r="F16" s="396">
        <f t="shared" ref="F16:F17" si="2">ROUND((I16*1.02),2)</f>
        <v>2.64</v>
      </c>
      <c r="G16" s="255">
        <f>'BASE DATOS MATERIALES'!D182</f>
        <v>3840</v>
      </c>
      <c r="H16" s="495">
        <f t="shared" ref="H16:H92" si="3">ROUND((F16*G16),2)</f>
        <v>10137.6</v>
      </c>
      <c r="I16" s="486">
        <v>2.589</v>
      </c>
    </row>
    <row r="17" spans="1:12" ht="13.5" thickBot="1" x14ac:dyDescent="0.25">
      <c r="A17" s="496"/>
      <c r="B17" s="295"/>
      <c r="C17" s="471" t="str">
        <f>'BASE DATOS MATERIALES'!A32</f>
        <v>CABLE TRIPLEX 3x2 ACSR AWG, 600V</v>
      </c>
      <c r="D17" s="246"/>
      <c r="E17" s="253" t="s">
        <v>61</v>
      </c>
      <c r="F17" s="396">
        <f t="shared" si="2"/>
        <v>0</v>
      </c>
      <c r="G17" s="255">
        <f>'BASE DATOS MATERIALES'!D32</f>
        <v>2100</v>
      </c>
      <c r="H17" s="495">
        <f t="shared" si="3"/>
        <v>0</v>
      </c>
      <c r="I17" s="486">
        <v>0</v>
      </c>
    </row>
    <row r="18" spans="1:12" x14ac:dyDescent="0.2">
      <c r="A18" s="496"/>
      <c r="B18" s="296"/>
      <c r="C18" s="735"/>
      <c r="D18" s="736"/>
      <c r="E18" s="253"/>
      <c r="F18" s="254"/>
      <c r="G18" s="255"/>
      <c r="H18" s="495"/>
    </row>
    <row r="19" spans="1:12" ht="15.75" x14ac:dyDescent="0.2">
      <c r="A19" s="496"/>
      <c r="B19" s="294" t="s">
        <v>74</v>
      </c>
      <c r="C19" s="217" t="s">
        <v>75</v>
      </c>
      <c r="D19" s="245"/>
      <c r="E19" s="253"/>
      <c r="F19" s="254"/>
      <c r="G19" s="255"/>
      <c r="H19" s="495"/>
    </row>
    <row r="20" spans="1:12" x14ac:dyDescent="0.2">
      <c r="A20" s="496"/>
      <c r="B20" s="295"/>
      <c r="C20" s="474" t="str">
        <f>'BASE DATOS MATERIALES'!A54</f>
        <v>POSTE HORMIGÓN ARMADO CIRCULAR 10 M X 400 KG</v>
      </c>
      <c r="D20" s="246"/>
      <c r="E20" s="253" t="s">
        <v>77</v>
      </c>
      <c r="F20" s="303">
        <v>26</v>
      </c>
      <c r="G20" s="255">
        <f>'BASE DATOS MATERIALES'!D54</f>
        <v>205.53</v>
      </c>
      <c r="H20" s="495">
        <f t="shared" si="3"/>
        <v>5343.78</v>
      </c>
      <c r="L20" s="110" t="s">
        <v>1067</v>
      </c>
    </row>
    <row r="21" spans="1:12" x14ac:dyDescent="0.2">
      <c r="A21" s="496"/>
      <c r="B21" s="295"/>
      <c r="C21" s="474" t="str">
        <f>'BASE DATOS MATERIALES'!A55</f>
        <v>POSTE HORMIGÓN ARMADO CIRCULAR 10 M, 2000 KG (autosoportante)</v>
      </c>
      <c r="D21" s="246"/>
      <c r="E21" s="253" t="s">
        <v>77</v>
      </c>
      <c r="F21" s="303">
        <v>16</v>
      </c>
      <c r="G21" s="255">
        <f>'BASE DATOS MATERIALES'!D55</f>
        <v>852.87</v>
      </c>
      <c r="H21" s="495">
        <f t="shared" si="3"/>
        <v>13645.92</v>
      </c>
    </row>
    <row r="22" spans="1:12" x14ac:dyDescent="0.2">
      <c r="A22" s="496"/>
      <c r="B22" s="295"/>
      <c r="C22" s="474" t="str">
        <f>'BASE DATOS MATERIALES'!A56</f>
        <v>POSTE HORMIGÓN ARMADO CIRCULAR 12 M X 500 KG</v>
      </c>
      <c r="D22" s="246"/>
      <c r="E22" s="253" t="s">
        <v>77</v>
      </c>
      <c r="F22" s="303">
        <v>7</v>
      </c>
      <c r="G22" s="255">
        <f>'BASE DATOS MATERIALES'!D56</f>
        <v>287.85000000000002</v>
      </c>
      <c r="H22" s="495">
        <f t="shared" si="3"/>
        <v>2014.95</v>
      </c>
    </row>
    <row r="23" spans="1:12" x14ac:dyDescent="0.2">
      <c r="A23" s="496"/>
      <c r="B23" s="295"/>
      <c r="C23" s="474" t="str">
        <f>'BASE DATOS MATERIALES'!A57</f>
        <v>POSTE HORMIGÓN ARMADO CIRCULAR 12 M X  2000 KG (autosoportante)</v>
      </c>
      <c r="D23" s="246"/>
      <c r="E23" s="253" t="s">
        <v>77</v>
      </c>
      <c r="F23" s="303">
        <v>26</v>
      </c>
      <c r="G23" s="255">
        <f>'BASE DATOS MATERIALES'!D57</f>
        <v>955.23</v>
      </c>
      <c r="H23" s="495">
        <f t="shared" si="3"/>
        <v>24835.98</v>
      </c>
    </row>
    <row r="24" spans="1:12" x14ac:dyDescent="0.2">
      <c r="A24" s="496"/>
      <c r="B24" s="295"/>
      <c r="C24" s="474" t="str">
        <f>'BASE DATOS MATERIALES'!A58</f>
        <v>POSTE HORMIGON ARMADO CIRCULAR 14 M X 500 KG</v>
      </c>
      <c r="D24" s="246"/>
      <c r="E24" s="253" t="s">
        <v>77</v>
      </c>
      <c r="F24" s="303">
        <v>0</v>
      </c>
      <c r="G24" s="255">
        <f>'BASE DATOS MATERIALES'!D58</f>
        <v>410.7</v>
      </c>
      <c r="H24" s="495">
        <f t="shared" si="3"/>
        <v>0</v>
      </c>
    </row>
    <row r="25" spans="1:12" x14ac:dyDescent="0.2">
      <c r="A25" s="496"/>
      <c r="B25" s="295"/>
      <c r="C25" s="474" t="str">
        <f>'BASE DATOS MATERIALES'!A59</f>
        <v>POSTE HORMIGON ARMADO CIRCULAR 14 M X 700 KG</v>
      </c>
      <c r="D25" s="246"/>
      <c r="E25" s="253" t="s">
        <v>77</v>
      </c>
      <c r="F25" s="303">
        <v>0</v>
      </c>
      <c r="G25" s="255">
        <f>'BASE DATOS MATERIALES'!D59</f>
        <v>606.9</v>
      </c>
      <c r="H25" s="495">
        <f t="shared" si="3"/>
        <v>0</v>
      </c>
    </row>
    <row r="26" spans="1:12" x14ac:dyDescent="0.2">
      <c r="A26" s="496"/>
      <c r="B26" s="295"/>
      <c r="C26" s="474" t="str">
        <f>'BASE DATOS MATERIALES'!A60</f>
        <v>POSTE HORMIGÓN ARMADO CIRCULAR 14 M X  2000 KG (autosoportante)</v>
      </c>
      <c r="D26" s="246"/>
      <c r="E26" s="253" t="s">
        <v>77</v>
      </c>
      <c r="F26" s="303">
        <v>0</v>
      </c>
      <c r="G26" s="255">
        <f>'BASE DATOS MATERIALES'!D60</f>
        <v>1198.96</v>
      </c>
      <c r="H26" s="495">
        <f t="shared" si="3"/>
        <v>0</v>
      </c>
    </row>
    <row r="27" spans="1:12" x14ac:dyDescent="0.2">
      <c r="A27" s="496"/>
      <c r="B27" s="295"/>
      <c r="C27" s="474" t="str">
        <f>'BASE DATOS MATERIALES'!A61</f>
        <v>Poste circular de plástico reforzado con fibra de vidrio, 10 m, 400 kg</v>
      </c>
      <c r="D27" s="246"/>
      <c r="E27" s="253" t="s">
        <v>77</v>
      </c>
      <c r="F27" s="303">
        <v>6</v>
      </c>
      <c r="G27" s="255">
        <f>'BASE DATOS MATERIALES'!D61</f>
        <v>532.74</v>
      </c>
      <c r="H27" s="495">
        <f t="shared" si="3"/>
        <v>3196.44</v>
      </c>
    </row>
    <row r="28" spans="1:12" x14ac:dyDescent="0.2">
      <c r="A28" s="496"/>
      <c r="B28" s="295"/>
      <c r="C28" s="474" t="str">
        <f>'BASE DATOS MATERIALES'!A62</f>
        <v>Poste circular de plástico reforzado con fibra de vidrio, 10 m, 2000 kg  (Autosoportable)</v>
      </c>
      <c r="D28" s="246"/>
      <c r="E28" s="253" t="s">
        <v>77</v>
      </c>
      <c r="F28" s="303">
        <v>2</v>
      </c>
      <c r="G28" s="255">
        <f>'BASE DATOS MATERIALES'!D62</f>
        <v>1259.6600000000001</v>
      </c>
      <c r="H28" s="495">
        <f t="shared" si="3"/>
        <v>2519.3200000000002</v>
      </c>
    </row>
    <row r="29" spans="1:12" x14ac:dyDescent="0.2">
      <c r="A29" s="496"/>
      <c r="B29" s="295"/>
      <c r="C29" s="474" t="str">
        <f>'BASE DATOS MATERIALES'!A63</f>
        <v>Poste circular de plástico reforzado con fibra de vidrio, 12 m, 500 kg</v>
      </c>
      <c r="D29" s="246"/>
      <c r="E29" s="253" t="s">
        <v>77</v>
      </c>
      <c r="F29" s="303"/>
      <c r="G29" s="255">
        <f>'BASE DATOS MATERIALES'!D63</f>
        <v>627.17999999999995</v>
      </c>
      <c r="H29" s="495">
        <f t="shared" si="3"/>
        <v>0</v>
      </c>
    </row>
    <row r="30" spans="1:12" ht="12" customHeight="1" thickBot="1" x14ac:dyDescent="0.25">
      <c r="A30" s="496"/>
      <c r="B30" s="295"/>
      <c r="C30" s="474" t="str">
        <f>'BASE DATOS MATERIALES'!A64</f>
        <v>Poste circular de plástico reforzado con fibra de vidrio, 12 m, 2000 kg   (Autosoportable)</v>
      </c>
      <c r="D30" s="475"/>
      <c r="E30" s="253" t="s">
        <v>77</v>
      </c>
      <c r="F30" s="304">
        <v>0</v>
      </c>
      <c r="G30" s="255">
        <f>'BASE DATOS MATERIALES'!D64</f>
        <v>1504.58</v>
      </c>
      <c r="H30" s="495">
        <f t="shared" si="3"/>
        <v>0</v>
      </c>
    </row>
    <row r="31" spans="1:12" ht="12" customHeight="1" thickBot="1" x14ac:dyDescent="0.25">
      <c r="A31" s="496"/>
      <c r="B31" s="295"/>
      <c r="C31" s="480" t="s">
        <v>1095</v>
      </c>
      <c r="D31" s="481"/>
      <c r="E31" s="253" t="s">
        <v>1052</v>
      </c>
      <c r="F31" s="262">
        <f>(F21+F23+F26+F28+F30+I31)*0.128</f>
        <v>5.6319999999999997</v>
      </c>
      <c r="G31" s="255">
        <v>345</v>
      </c>
      <c r="H31" s="495">
        <f t="shared" si="3"/>
        <v>1943.04</v>
      </c>
      <c r="I31" s="486"/>
    </row>
    <row r="32" spans="1:12" ht="12" customHeight="1" x14ac:dyDescent="0.2">
      <c r="A32" s="496"/>
      <c r="B32" s="295"/>
      <c r="C32" s="480" t="s">
        <v>1096</v>
      </c>
      <c r="D32" s="481"/>
      <c r="E32" s="253" t="s">
        <v>1052</v>
      </c>
      <c r="F32" s="262">
        <f>((F21+F28)*0.96)+((F23+F30)*1.09)+(F26*1.22)</f>
        <v>45.620000000000005</v>
      </c>
      <c r="G32" s="255">
        <v>24.2</v>
      </c>
      <c r="H32" s="495">
        <f t="shared" si="3"/>
        <v>1104</v>
      </c>
      <c r="I32" s="6"/>
    </row>
    <row r="33" spans="1:8" ht="12.75" customHeight="1" x14ac:dyDescent="0.2">
      <c r="A33" s="496"/>
      <c r="B33" s="295"/>
      <c r="C33" s="686"/>
      <c r="D33" s="687"/>
      <c r="E33" s="253"/>
      <c r="F33" s="261"/>
      <c r="G33" s="256"/>
      <c r="H33" s="495"/>
    </row>
    <row r="34" spans="1:8" ht="12.75" customHeight="1" x14ac:dyDescent="0.2">
      <c r="A34" s="496"/>
      <c r="B34" s="232" t="s">
        <v>82</v>
      </c>
      <c r="C34" s="217" t="s">
        <v>226</v>
      </c>
      <c r="D34" s="247"/>
      <c r="E34" s="257"/>
      <c r="F34" s="262"/>
      <c r="G34" s="258"/>
      <c r="H34" s="495"/>
    </row>
    <row r="35" spans="1:8" ht="12.75" customHeight="1" x14ac:dyDescent="0.2">
      <c r="A35" s="496"/>
      <c r="B35" s="295"/>
      <c r="C35" s="220" t="str">
        <f>'BASE DATOS MATERIALES'!A9</f>
        <v>Transformador 5 kVA, 13800 GRdY / 7960</v>
      </c>
      <c r="D35" s="248"/>
      <c r="E35" s="253" t="s">
        <v>77</v>
      </c>
      <c r="F35" s="304">
        <v>0</v>
      </c>
      <c r="G35" s="259">
        <f>'BASE DATOS MATERIALES'!D9</f>
        <v>1166.8900000000001</v>
      </c>
      <c r="H35" s="495">
        <f t="shared" si="3"/>
        <v>0</v>
      </c>
    </row>
    <row r="36" spans="1:8" ht="12.75" customHeight="1" x14ac:dyDescent="0.2">
      <c r="A36" s="496"/>
      <c r="B36" s="295"/>
      <c r="C36" s="220" t="str">
        <f>'BASE DATOS MATERIALES'!A10</f>
        <v>Transformador 10 kVA, 13800 GRdY / 7960</v>
      </c>
      <c r="D36" s="248"/>
      <c r="E36" s="253" t="s">
        <v>77</v>
      </c>
      <c r="F36" s="304">
        <v>0</v>
      </c>
      <c r="G36" s="259">
        <f>'BASE DATOS MATERIALES'!D10</f>
        <v>1382.39</v>
      </c>
      <c r="H36" s="495">
        <f t="shared" si="3"/>
        <v>0</v>
      </c>
    </row>
    <row r="37" spans="1:8" ht="12.75" customHeight="1" x14ac:dyDescent="0.2">
      <c r="A37" s="496"/>
      <c r="B37" s="295"/>
      <c r="C37" s="220" t="str">
        <f>'BASE DATOS MATERIALES'!A11</f>
        <v>Transformador 15 kVA, 13800 GRdY / 7960</v>
      </c>
      <c r="D37" s="248"/>
      <c r="E37" s="253" t="s">
        <v>77</v>
      </c>
      <c r="F37" s="304">
        <v>0</v>
      </c>
      <c r="G37" s="259">
        <f>'BASE DATOS MATERIALES'!D11</f>
        <v>1562.77</v>
      </c>
      <c r="H37" s="495">
        <f t="shared" si="3"/>
        <v>0</v>
      </c>
    </row>
    <row r="38" spans="1:8" ht="12.75" customHeight="1" x14ac:dyDescent="0.2">
      <c r="A38" s="496"/>
      <c r="B38" s="295"/>
      <c r="C38" s="220" t="str">
        <f>'BASE DATOS MATERIALES'!A12</f>
        <v>Transformador 25 kVA, 13800 GRdY / 7960</v>
      </c>
      <c r="D38" s="248"/>
      <c r="E38" s="253" t="s">
        <v>77</v>
      </c>
      <c r="F38" s="304"/>
      <c r="G38" s="259">
        <f>'BASE DATOS MATERIALES'!D12</f>
        <v>2236.81</v>
      </c>
      <c r="H38" s="495">
        <f t="shared" si="3"/>
        <v>0</v>
      </c>
    </row>
    <row r="39" spans="1:8" ht="12.75" customHeight="1" x14ac:dyDescent="0.2">
      <c r="A39" s="496"/>
      <c r="B39" s="295"/>
      <c r="C39" s="220" t="str">
        <f>'BASE DATOS MATERIALES'!A13</f>
        <v>Transformador 37.5 kVA, 13800 GRdY/7960</v>
      </c>
      <c r="D39" s="248"/>
      <c r="E39" s="253" t="s">
        <v>77</v>
      </c>
      <c r="F39" s="304">
        <v>10</v>
      </c>
      <c r="G39" s="259">
        <f>'BASE DATOS MATERIALES'!D13</f>
        <v>2557.5300000000002</v>
      </c>
      <c r="H39" s="495">
        <f t="shared" si="3"/>
        <v>25575.3</v>
      </c>
    </row>
    <row r="40" spans="1:8" ht="12.75" customHeight="1" x14ac:dyDescent="0.2">
      <c r="A40" s="496"/>
      <c r="B40" s="295"/>
      <c r="C40" s="220" t="str">
        <f>'BASE DATOS MATERIALES'!A14</f>
        <v>Transformador 50 kVA, 13800 GRdY / 7960</v>
      </c>
      <c r="D40" s="248"/>
      <c r="E40" s="253" t="s">
        <v>77</v>
      </c>
      <c r="F40" s="304">
        <v>8</v>
      </c>
      <c r="G40" s="259">
        <f>'BASE DATOS MATERIALES'!D14</f>
        <v>2882.46</v>
      </c>
      <c r="H40" s="495">
        <f t="shared" si="3"/>
        <v>23059.68</v>
      </c>
    </row>
    <row r="41" spans="1:8" ht="12.75" customHeight="1" x14ac:dyDescent="0.2">
      <c r="A41" s="496"/>
      <c r="B41" s="295"/>
      <c r="C41" s="686"/>
      <c r="D41" s="687"/>
      <c r="E41" s="257"/>
      <c r="F41" s="262"/>
      <c r="G41" s="259"/>
      <c r="H41" s="495"/>
    </row>
    <row r="42" spans="1:8" ht="12.75" customHeight="1" x14ac:dyDescent="0.2">
      <c r="A42" s="496"/>
      <c r="B42" s="232" t="s">
        <v>109</v>
      </c>
      <c r="C42" s="217" t="s">
        <v>228</v>
      </c>
      <c r="D42" s="248"/>
      <c r="E42" s="257"/>
      <c r="F42" s="262"/>
      <c r="G42" s="259"/>
      <c r="H42" s="495"/>
    </row>
    <row r="43" spans="1:8" ht="12.75" customHeight="1" x14ac:dyDescent="0.2">
      <c r="A43" s="496"/>
      <c r="B43" s="295"/>
      <c r="C43" s="220" t="s">
        <v>778</v>
      </c>
      <c r="D43" s="247"/>
      <c r="E43" s="253" t="s">
        <v>77</v>
      </c>
      <c r="F43" s="304">
        <v>1</v>
      </c>
      <c r="G43" s="259">
        <f>'BASE DATOS MATERIALES'!D16</f>
        <v>169.44</v>
      </c>
      <c r="H43" s="495">
        <f t="shared" si="3"/>
        <v>169.44</v>
      </c>
    </row>
    <row r="44" spans="1:8" ht="12.75" customHeight="1" x14ac:dyDescent="0.2">
      <c r="A44" s="496"/>
      <c r="B44" s="295"/>
      <c r="C44" s="220" t="s">
        <v>1011</v>
      </c>
      <c r="D44" s="248"/>
      <c r="E44" s="253" t="s">
        <v>77</v>
      </c>
      <c r="F44" s="262">
        <f>F43</f>
        <v>1</v>
      </c>
      <c r="G44" s="259">
        <f>'BASE DATOS MATERIALES'!D18</f>
        <v>3.41</v>
      </c>
      <c r="H44" s="495">
        <f t="shared" si="3"/>
        <v>3.41</v>
      </c>
    </row>
    <row r="45" spans="1:8" ht="12.75" customHeight="1" x14ac:dyDescent="0.2">
      <c r="A45" s="496"/>
      <c r="B45" s="295"/>
      <c r="C45" s="686"/>
      <c r="D45" s="687"/>
      <c r="E45" s="257"/>
      <c r="F45" s="262"/>
      <c r="G45" s="259"/>
      <c r="H45" s="495"/>
    </row>
    <row r="46" spans="1:8" ht="12.75" customHeight="1" x14ac:dyDescent="0.2">
      <c r="A46" s="496"/>
      <c r="B46" s="232" t="s">
        <v>116</v>
      </c>
      <c r="C46" s="217" t="s">
        <v>229</v>
      </c>
      <c r="D46" s="248"/>
      <c r="E46" s="257"/>
      <c r="F46" s="262"/>
      <c r="G46" s="259"/>
      <c r="H46" s="495"/>
    </row>
    <row r="47" spans="1:8" ht="12.75" customHeight="1" x14ac:dyDescent="0.2">
      <c r="A47" s="496"/>
      <c r="B47" s="295"/>
      <c r="C47" s="220" t="str">
        <f>'BASE DATOS MATERIALES'!A20</f>
        <v>LUMINARIA CON LÁMPARA DE ALTA PRESIÓN NA DE 100W POTENCIA CONSTANTE, CON BRAZO PARA MONTAJE EN POSTE, 240/120V, AUTOCONTROLADA</v>
      </c>
      <c r="D47" s="248"/>
      <c r="E47" s="253" t="s">
        <v>77</v>
      </c>
      <c r="F47" s="304">
        <v>0</v>
      </c>
      <c r="G47" s="259">
        <f>'BASE DATOS MATERIALES'!D20</f>
        <v>133.97999999999999</v>
      </c>
      <c r="H47" s="495">
        <f t="shared" si="3"/>
        <v>0</v>
      </c>
    </row>
    <row r="48" spans="1:8" ht="12.75" customHeight="1" x14ac:dyDescent="0.2">
      <c r="A48" s="496"/>
      <c r="B48" s="295"/>
      <c r="C48" s="220" t="str">
        <f>'BASE DATOS MATERIALES'!A21</f>
        <v>LUMINARIA CON LÁMPARA DE ALTA PRESIÓN NA DE 150W POTENCIA CONSTANTE, CON BRAZO PARA MONTAJE EN POSTE, 240/120V, AUTOCONTROLADA</v>
      </c>
      <c r="D48" s="248"/>
      <c r="E48" s="253" t="s">
        <v>77</v>
      </c>
      <c r="F48" s="304">
        <v>96</v>
      </c>
      <c r="G48" s="259">
        <f>'BASE DATOS MATERIALES'!D21</f>
        <v>156.85</v>
      </c>
      <c r="H48" s="495">
        <f t="shared" si="3"/>
        <v>15057.6</v>
      </c>
    </row>
    <row r="49" spans="1:9" ht="12.75" customHeight="1" x14ac:dyDescent="0.2">
      <c r="A49" s="496"/>
      <c r="B49" s="295"/>
      <c r="C49" s="686"/>
      <c r="D49" s="687"/>
      <c r="E49" s="257"/>
      <c r="F49" s="262"/>
      <c r="G49" s="259"/>
      <c r="H49" s="495"/>
    </row>
    <row r="50" spans="1:9" ht="12.75" customHeight="1" thickBot="1" x14ac:dyDescent="0.25">
      <c r="A50" s="496"/>
      <c r="B50" s="232" t="s">
        <v>120</v>
      </c>
      <c r="C50" s="217" t="s">
        <v>230</v>
      </c>
      <c r="D50" s="248"/>
      <c r="E50" s="257"/>
      <c r="F50" s="262"/>
      <c r="G50" s="259"/>
      <c r="H50" s="495"/>
    </row>
    <row r="51" spans="1:9" ht="12.75" customHeight="1" thickBot="1" x14ac:dyDescent="0.25">
      <c r="A51" s="496"/>
      <c r="B51" s="295"/>
      <c r="C51" s="220" t="str">
        <f>'BASE DATOS MATERIALES'!A23</f>
        <v>AISLADOR SUSPENSION ANSI 52-1</v>
      </c>
      <c r="D51" s="248"/>
      <c r="E51" s="253" t="s">
        <v>77</v>
      </c>
      <c r="F51" s="262">
        <f>(F158*2)+(F159*4)+(F162*2)+(F167*6)+(F170*6)+(F172*12)+(F173*12)+(F174*6)+(F163*4)+I51</f>
        <v>50</v>
      </c>
      <c r="G51" s="259">
        <f>'BASE DATOS MATERIALES'!D23</f>
        <v>11.17</v>
      </c>
      <c r="H51" s="497">
        <f t="shared" si="3"/>
        <v>558.5</v>
      </c>
      <c r="I51" s="486"/>
    </row>
    <row r="52" spans="1:9" ht="12.75" customHeight="1" thickBot="1" x14ac:dyDescent="0.25">
      <c r="A52" s="496"/>
      <c r="B52" s="295"/>
      <c r="C52" s="220" t="str">
        <f>'BASE DATOS MATERIALES'!A24</f>
        <v xml:space="preserve">AISLADOR TIPO ESPIGA (PIN), DE PORCELANA, CLASE ANSI 56-1, 25 kV </v>
      </c>
      <c r="D52" s="247"/>
      <c r="E52" s="253" t="s">
        <v>77</v>
      </c>
      <c r="F52" s="262">
        <f>(F159*1)+(F160*1)+(F161*2)+(F166*3)+(F168*6)+(F169*3)+(F171*6)+(F172*3)+(F173*3)+I52</f>
        <v>28</v>
      </c>
      <c r="G52" s="259">
        <f>'BASE DATOS MATERIALES'!D24</f>
        <v>15.08</v>
      </c>
      <c r="H52" s="497">
        <f t="shared" si="3"/>
        <v>422.24</v>
      </c>
      <c r="I52" s="486"/>
    </row>
    <row r="53" spans="1:9" ht="12.75" customHeight="1" thickBot="1" x14ac:dyDescent="0.25">
      <c r="A53" s="496"/>
      <c r="B53" s="295"/>
      <c r="C53" s="220" t="s">
        <v>231</v>
      </c>
      <c r="D53" s="248"/>
      <c r="E53" s="253" t="s">
        <v>77</v>
      </c>
      <c r="F53" s="262">
        <f>+(F177*1)+F178+I53</f>
        <v>41</v>
      </c>
      <c r="G53" s="259">
        <f>'BASE DATOS MATERIALES'!D25</f>
        <v>1.46</v>
      </c>
      <c r="H53" s="497">
        <f t="shared" si="3"/>
        <v>59.86</v>
      </c>
      <c r="I53" s="486"/>
    </row>
    <row r="54" spans="1:9" ht="12.75" customHeight="1" thickBot="1" x14ac:dyDescent="0.25">
      <c r="A54" s="496"/>
      <c r="B54" s="295"/>
      <c r="C54" s="220" t="s">
        <v>232</v>
      </c>
      <c r="D54" s="248"/>
      <c r="E54" s="253" t="s">
        <v>77</v>
      </c>
      <c r="F54" s="262">
        <f>(F184*1)+(F185*1)+(F187*1)+I54</f>
        <v>8</v>
      </c>
      <c r="G54" s="259">
        <f>'BASE DATOS MATERIALES'!D26</f>
        <v>7.38</v>
      </c>
      <c r="H54" s="497">
        <f t="shared" si="3"/>
        <v>59.04</v>
      </c>
      <c r="I54" s="486"/>
    </row>
    <row r="55" spans="1:9" ht="12.75" customHeight="1" x14ac:dyDescent="0.2">
      <c r="A55" s="496"/>
      <c r="B55" s="295"/>
      <c r="C55" s="686"/>
      <c r="D55" s="687"/>
      <c r="E55" s="257"/>
      <c r="F55" s="262"/>
      <c r="G55" s="259"/>
      <c r="H55" s="497"/>
    </row>
    <row r="56" spans="1:9" ht="12.75" customHeight="1" thickBot="1" x14ac:dyDescent="0.25">
      <c r="A56" s="496"/>
      <c r="B56" s="232" t="s">
        <v>124</v>
      </c>
      <c r="C56" s="217" t="s">
        <v>736</v>
      </c>
      <c r="D56" s="248"/>
      <c r="E56" s="257"/>
      <c r="F56" s="262"/>
      <c r="G56" s="259"/>
      <c r="H56" s="497"/>
    </row>
    <row r="57" spans="1:9" ht="12.75" customHeight="1" thickBot="1" x14ac:dyDescent="0.25">
      <c r="A57" s="496"/>
      <c r="B57" s="295"/>
      <c r="C57" s="220" t="s">
        <v>234</v>
      </c>
      <c r="D57" s="247"/>
      <c r="E57" s="253" t="s">
        <v>194</v>
      </c>
      <c r="F57" s="262">
        <f>(F184*25)+(F185*14)+(F186*11)+(F187*14)+(F188*11)+I57</f>
        <v>442</v>
      </c>
      <c r="G57" s="259">
        <f>'BASE DATOS MATERIALES'!D33</f>
        <v>1.4</v>
      </c>
      <c r="H57" s="497">
        <f t="shared" si="3"/>
        <v>618.79999999999995</v>
      </c>
      <c r="I57" s="486"/>
    </row>
    <row r="58" spans="1:9" ht="12.75" customHeight="1" x14ac:dyDescent="0.2">
      <c r="A58" s="496"/>
      <c r="B58" s="295"/>
      <c r="C58" s="686"/>
      <c r="D58" s="687"/>
      <c r="E58" s="257"/>
      <c r="F58" s="262"/>
      <c r="G58" s="259"/>
      <c r="H58" s="497"/>
    </row>
    <row r="59" spans="1:9" ht="12.75" customHeight="1" thickBot="1" x14ac:dyDescent="0.25">
      <c r="A59" s="496"/>
      <c r="B59" s="232" t="s">
        <v>128</v>
      </c>
      <c r="C59" s="217" t="s">
        <v>235</v>
      </c>
      <c r="D59" s="248"/>
      <c r="E59" s="257"/>
      <c r="F59" s="262"/>
      <c r="G59" s="259"/>
      <c r="H59" s="497"/>
    </row>
    <row r="60" spans="1:9" ht="12.75" customHeight="1" thickBot="1" x14ac:dyDescent="0.25">
      <c r="A60" s="496"/>
      <c r="B60" s="295"/>
      <c r="C60" s="220" t="s">
        <v>236</v>
      </c>
      <c r="D60" s="248"/>
      <c r="E60" s="253" t="s">
        <v>194</v>
      </c>
      <c r="F60" s="262">
        <f>+(F197*6)+I60</f>
        <v>108</v>
      </c>
      <c r="G60" s="259">
        <f>'BASE DATOS MATERIALES'!D37</f>
        <v>8.31</v>
      </c>
      <c r="H60" s="497">
        <f t="shared" si="3"/>
        <v>897.48</v>
      </c>
      <c r="I60" s="486"/>
    </row>
    <row r="61" spans="1:9" ht="12.75" customHeight="1" x14ac:dyDescent="0.2">
      <c r="A61" s="496"/>
      <c r="B61" s="295"/>
      <c r="C61" s="686"/>
      <c r="D61" s="687"/>
      <c r="E61" s="257"/>
      <c r="F61" s="262"/>
      <c r="G61" s="259"/>
      <c r="H61" s="497"/>
    </row>
    <row r="62" spans="1:9" ht="12.75" customHeight="1" thickBot="1" x14ac:dyDescent="0.25">
      <c r="A62" s="496"/>
      <c r="B62" s="232" t="s">
        <v>143</v>
      </c>
      <c r="C62" s="217" t="s">
        <v>1025</v>
      </c>
      <c r="D62" s="247"/>
      <c r="E62" s="257"/>
      <c r="F62" s="262"/>
      <c r="G62" s="259"/>
      <c r="H62" s="497"/>
    </row>
    <row r="63" spans="1:9" ht="12.75" customHeight="1" thickBot="1" x14ac:dyDescent="0.25">
      <c r="A63" s="496"/>
      <c r="B63" s="295"/>
      <c r="C63" s="220" t="str">
        <f>'BASE DATOS MATERIALES'!A39</f>
        <v>RETENCION PREFORMADA PARA CABLE DE ACERO GALV. 9,52mm, (3/8"), 3155kgf</v>
      </c>
      <c r="D63" s="248"/>
      <c r="E63" s="253" t="s">
        <v>77</v>
      </c>
      <c r="F63" s="262">
        <f>(F184*4)+(F185*3)+(F186*1)+(F187*3)+(F188*1)+I63</f>
        <v>54</v>
      </c>
      <c r="G63" s="259">
        <f>'BASE DATOS MATERIALES'!D39</f>
        <v>5.38</v>
      </c>
      <c r="H63" s="497">
        <f t="shared" si="3"/>
        <v>290.52</v>
      </c>
      <c r="I63" s="486"/>
    </row>
    <row r="64" spans="1:9" ht="12.75" customHeight="1" thickBot="1" x14ac:dyDescent="0.25">
      <c r="A64" s="496"/>
      <c r="B64" s="295"/>
      <c r="C64" s="220" t="str">
        <f>'BASE DATOS MATERIALES'!A218</f>
        <v>VARILLA DE ARMAR PREFORMADA SIMPLE, PARA CABLE  ACSR 2-2/0</v>
      </c>
      <c r="D64" s="248"/>
      <c r="E64" s="253" t="s">
        <v>77</v>
      </c>
      <c r="F64" s="262">
        <f>(F160*1)+(F161*1)+(F162*1)+(F166*3)+(F168*3)+(F169*3)+(F171*3)+(F174*3)+F159+I64</f>
        <v>28</v>
      </c>
      <c r="G64" s="260">
        <f>'BASE DATOS MATERIALES'!D218</f>
        <v>8.67</v>
      </c>
      <c r="H64" s="497">
        <f t="shared" si="3"/>
        <v>242.76</v>
      </c>
      <c r="I64" s="486"/>
    </row>
    <row r="65" spans="1:15" ht="12.75" customHeight="1" thickBot="1" x14ac:dyDescent="0.25">
      <c r="A65" s="496"/>
      <c r="B65" s="295"/>
      <c r="C65" s="459" t="str">
        <f>'BASE DATOS MATERIALES'!A34</f>
        <v>ESTRIBO DE ALEACION Cu- Sn, PARA DERIVACION</v>
      </c>
      <c r="D65" s="460"/>
      <c r="E65" s="253" t="s">
        <v>77</v>
      </c>
      <c r="F65" s="262">
        <f>F197+(F43*2)+I65</f>
        <v>20</v>
      </c>
      <c r="G65" s="260">
        <f>'BASE DATOS MATERIALES'!D34</f>
        <v>10.59</v>
      </c>
      <c r="H65" s="497">
        <f t="shared" ref="H65:H69" si="4">ROUND((F65*G65),2)</f>
        <v>211.8</v>
      </c>
      <c r="I65" s="486"/>
    </row>
    <row r="66" spans="1:15" ht="12.75" customHeight="1" x14ac:dyDescent="0.2">
      <c r="A66" s="496"/>
      <c r="B66" s="295"/>
      <c r="C66" s="459" t="str">
        <f>'BASE DATOS MATERIALES'!A40</f>
        <v>AMORTIGUADOR DE VIBRACION PREFORMADO CONDUCTOR ACSR 2</v>
      </c>
      <c r="D66" s="460"/>
      <c r="E66" s="253" t="s">
        <v>77</v>
      </c>
      <c r="F66" s="304">
        <v>0</v>
      </c>
      <c r="G66" s="260">
        <f>'BASE DATOS MATERIALES'!D40</f>
        <v>9.26</v>
      </c>
      <c r="H66" s="497">
        <f t="shared" si="4"/>
        <v>0</v>
      </c>
    </row>
    <row r="67" spans="1:15" ht="12.75" customHeight="1" x14ac:dyDescent="0.2">
      <c r="A67" s="496"/>
      <c r="B67" s="295"/>
      <c r="C67" s="459" t="str">
        <f>'BASE DATOS MATERIALES'!A41</f>
        <v>AMORTIGUADOR DE VIBRACION PREFORMADO CONDUCTOR ACSR 1/0</v>
      </c>
      <c r="D67" s="460"/>
      <c r="E67" s="253" t="s">
        <v>77</v>
      </c>
      <c r="F67" s="304">
        <v>0</v>
      </c>
      <c r="G67" s="260">
        <f>'BASE DATOS MATERIALES'!D41</f>
        <v>11.35</v>
      </c>
      <c r="H67" s="497">
        <f t="shared" si="4"/>
        <v>0</v>
      </c>
    </row>
    <row r="68" spans="1:15" ht="12.75" customHeight="1" x14ac:dyDescent="0.2">
      <c r="A68" s="496"/>
      <c r="B68" s="295"/>
      <c r="C68" s="459" t="str">
        <f>'BASE DATOS MATERIALES'!A42</f>
        <v>AMORTIGUADOR DE VIBRACION PREFORMADO CONDUCTOR ACSR 2/0</v>
      </c>
      <c r="D68" s="460"/>
      <c r="E68" s="253" t="s">
        <v>77</v>
      </c>
      <c r="F68" s="304">
        <v>0</v>
      </c>
      <c r="G68" s="260">
        <f>'BASE DATOS MATERIALES'!D42</f>
        <v>12.88</v>
      </c>
      <c r="H68" s="497">
        <f t="shared" si="4"/>
        <v>0</v>
      </c>
    </row>
    <row r="69" spans="1:15" ht="12.75" customHeight="1" x14ac:dyDescent="0.2">
      <c r="A69" s="496"/>
      <c r="B69" s="295"/>
      <c r="C69" s="459" t="str">
        <f>'BASE DATOS MATERIALES'!A43</f>
        <v>AMORTIGUADOR DE VIBRACION PREFORMADO CONDUCTOR ACSR 3/0</v>
      </c>
      <c r="D69" s="460"/>
      <c r="E69" s="253" t="s">
        <v>77</v>
      </c>
      <c r="F69" s="304">
        <v>0</v>
      </c>
      <c r="G69" s="260">
        <f>'BASE DATOS MATERIALES'!D43</f>
        <v>14.88</v>
      </c>
      <c r="H69" s="497">
        <f t="shared" si="4"/>
        <v>0</v>
      </c>
    </row>
    <row r="70" spans="1:15" ht="12.75" customHeight="1" x14ac:dyDescent="0.2">
      <c r="A70" s="496"/>
      <c r="B70" s="295"/>
      <c r="C70" s="686"/>
      <c r="D70" s="687"/>
      <c r="E70" s="257"/>
      <c r="F70" s="262"/>
      <c r="G70" s="259"/>
      <c r="H70" s="497"/>
    </row>
    <row r="71" spans="1:15" ht="12.75" customHeight="1" thickBot="1" x14ac:dyDescent="0.25">
      <c r="A71" s="496"/>
      <c r="B71" s="232" t="s">
        <v>148</v>
      </c>
      <c r="C71" s="217" t="s">
        <v>240</v>
      </c>
      <c r="D71" s="248"/>
      <c r="E71" s="257"/>
      <c r="F71" s="262"/>
      <c r="G71" s="259"/>
      <c r="H71" s="497"/>
    </row>
    <row r="72" spans="1:15" ht="24.75" customHeight="1" thickBot="1" x14ac:dyDescent="0.25">
      <c r="A72" s="496"/>
      <c r="B72" s="295"/>
      <c r="C72" s="682" t="str">
        <f>'BASE DATOS MATERIALES'!A45</f>
        <v>Varilla para puesta a tierra tipo copperweld, 16 mm (5/8") de diám. x 1800 mm (71") de long., de alta camada</v>
      </c>
      <c r="D72" s="683"/>
      <c r="E72" s="253" t="s">
        <v>77</v>
      </c>
      <c r="F72" s="262">
        <f>F197+I72+F213+F217</f>
        <v>320</v>
      </c>
      <c r="G72" s="472">
        <f>'BASE DATOS MATERIALES'!D45</f>
        <v>12.66</v>
      </c>
      <c r="H72" s="498">
        <f t="shared" si="3"/>
        <v>4051.2</v>
      </c>
      <c r="I72" s="486">
        <v>2</v>
      </c>
      <c r="K72" s="110">
        <v>1</v>
      </c>
    </row>
    <row r="73" spans="1:15" ht="12.75" customHeight="1" thickBot="1" x14ac:dyDescent="0.25">
      <c r="A73" s="496"/>
      <c r="B73" s="295"/>
      <c r="C73" s="220" t="s">
        <v>386</v>
      </c>
      <c r="D73" s="247"/>
      <c r="E73" s="253" t="s">
        <v>77</v>
      </c>
      <c r="F73" s="262">
        <f>F197*13+I73</f>
        <v>234</v>
      </c>
      <c r="G73" s="259">
        <f>'BASE DATOS MATERIALES'!D46</f>
        <v>4.2300000000000004</v>
      </c>
      <c r="H73" s="497">
        <f t="shared" si="3"/>
        <v>989.82</v>
      </c>
      <c r="I73" s="486"/>
      <c r="K73" s="110">
        <v>12</v>
      </c>
    </row>
    <row r="74" spans="1:15" ht="12.75" customHeight="1" thickBot="1" x14ac:dyDescent="0.25">
      <c r="A74" s="496"/>
      <c r="B74" s="295"/>
      <c r="C74" s="220" t="s">
        <v>1033</v>
      </c>
      <c r="D74" s="247"/>
      <c r="E74" s="253" t="s">
        <v>194</v>
      </c>
      <c r="F74" s="262">
        <f>F213*2+I74+(F217*2)</f>
        <v>600</v>
      </c>
      <c r="G74" s="259">
        <f>'BASE DATOS MATERIALES'!D47</f>
        <v>1.93</v>
      </c>
      <c r="H74" s="497">
        <f t="shared" si="3"/>
        <v>1158</v>
      </c>
      <c r="I74" s="486"/>
    </row>
    <row r="75" spans="1:15" ht="12.75" customHeight="1" thickBot="1" x14ac:dyDescent="0.25">
      <c r="A75" s="496"/>
      <c r="B75" s="295"/>
      <c r="C75" s="220" t="s">
        <v>1027</v>
      </c>
      <c r="D75" s="247"/>
      <c r="E75" s="253" t="s">
        <v>77</v>
      </c>
      <c r="F75" s="262">
        <f>F213+I75+F217</f>
        <v>300</v>
      </c>
      <c r="G75" s="259">
        <f>'BASE DATOS MATERIALES'!D48</f>
        <v>9.14</v>
      </c>
      <c r="H75" s="497">
        <f t="shared" si="3"/>
        <v>2742</v>
      </c>
      <c r="I75" s="486"/>
    </row>
    <row r="76" spans="1:15" ht="12.75" customHeight="1" thickBot="1" x14ac:dyDescent="0.25">
      <c r="A76" s="496"/>
      <c r="B76" s="295"/>
      <c r="C76" s="220" t="s">
        <v>1026</v>
      </c>
      <c r="D76" s="248"/>
      <c r="E76" s="253" t="s">
        <v>77</v>
      </c>
      <c r="F76" s="262">
        <f>F197+I76</f>
        <v>18</v>
      </c>
      <c r="G76" s="259">
        <f>'BASE DATOS MATERIALES'!D213</f>
        <v>13.11</v>
      </c>
      <c r="H76" s="497">
        <f t="shared" si="3"/>
        <v>235.98</v>
      </c>
      <c r="I76" s="486"/>
      <c r="K76" s="110">
        <v>1</v>
      </c>
    </row>
    <row r="77" spans="1:15" ht="12.75" customHeight="1" thickBot="1" x14ac:dyDescent="0.25">
      <c r="A77" s="496"/>
      <c r="B77" s="295"/>
      <c r="C77" s="459" t="s">
        <v>1036</v>
      </c>
      <c r="D77" s="460"/>
      <c r="E77" s="253" t="s">
        <v>194</v>
      </c>
      <c r="F77" s="262">
        <f>F213*2+I77+F217*2</f>
        <v>600</v>
      </c>
      <c r="G77" s="259">
        <f>'BASE DATOS MATERIALES'!D49</f>
        <v>0.65</v>
      </c>
      <c r="H77" s="497">
        <f t="shared" si="3"/>
        <v>390</v>
      </c>
      <c r="I77" s="486"/>
    </row>
    <row r="78" spans="1:15" ht="12.75" customHeight="1" x14ac:dyDescent="0.2">
      <c r="A78" s="496"/>
      <c r="B78" s="295"/>
      <c r="C78" s="686"/>
      <c r="D78" s="687"/>
      <c r="E78" s="257"/>
      <c r="F78" s="262"/>
      <c r="G78" s="259"/>
      <c r="H78" s="497"/>
    </row>
    <row r="79" spans="1:15" ht="12.75" customHeight="1" thickBot="1" x14ac:dyDescent="0.25">
      <c r="A79" s="496"/>
      <c r="B79" s="232" t="s">
        <v>191</v>
      </c>
      <c r="C79" s="217" t="s">
        <v>241</v>
      </c>
      <c r="D79" s="247"/>
      <c r="E79" s="257"/>
      <c r="F79" s="262"/>
      <c r="G79" s="259"/>
      <c r="H79" s="497"/>
    </row>
    <row r="80" spans="1:15" ht="12.75" customHeight="1" thickBot="1" x14ac:dyDescent="0.25">
      <c r="A80" s="496"/>
      <c r="B80" s="295"/>
      <c r="C80" s="453" t="str">
        <f>'BASE DATOS MATERIALES'!A67</f>
        <v>PERNO ROSCA CORRIDA DE ACERO GALVANIZADO, 4 TUERCAS, 4 ARANDELAS PLANAS Y 4 DE PRESION, 16x306mm (5/8" X 12")</v>
      </c>
      <c r="D80" s="248"/>
      <c r="E80" s="253" t="s">
        <v>77</v>
      </c>
      <c r="F80" s="262">
        <f>(F167*2)+(F170*2)+(F171*2)+(F172*2)+(F173*2)+(F168*2)+I80</f>
        <v>0</v>
      </c>
      <c r="G80" s="259">
        <f>'BASE DATOS MATERIALES'!D67</f>
        <v>5.2</v>
      </c>
      <c r="H80" s="497">
        <f t="shared" si="3"/>
        <v>0</v>
      </c>
      <c r="I80" s="486"/>
      <c r="L80" s="211"/>
      <c r="M80" s="211"/>
      <c r="N80" s="212"/>
      <c r="O80" s="6"/>
    </row>
    <row r="81" spans="1:15" ht="12.75" customHeight="1" thickBot="1" x14ac:dyDescent="0.25">
      <c r="A81" s="496"/>
      <c r="B81" s="295"/>
      <c r="C81" s="220" t="str">
        <f>'BASE DATOS MATERIALES'!A70</f>
        <v>PERNO DE OJO DE ACERO, 4 TUERCAS, 4 ARANDELAS PLANA Y 4 DE PRESION 16x254mm (5/8" X 10")</v>
      </c>
      <c r="D81" s="248"/>
      <c r="E81" s="253" t="s">
        <v>77</v>
      </c>
      <c r="F81" s="262">
        <f>(F170*3)+(F172*3)+(F173*2)+(F167*2)+I81</f>
        <v>0</v>
      </c>
      <c r="G81" s="259">
        <f>'BASE DATOS MATERIALES'!D70</f>
        <v>6.29</v>
      </c>
      <c r="H81" s="497">
        <f t="shared" si="3"/>
        <v>0</v>
      </c>
      <c r="I81" s="486"/>
      <c r="L81" s="211"/>
      <c r="M81" s="211"/>
      <c r="N81" s="212"/>
      <c r="O81" s="6"/>
    </row>
    <row r="82" spans="1:15" ht="12.75" customHeight="1" thickBot="1" x14ac:dyDescent="0.25">
      <c r="A82" s="496"/>
      <c r="B82" s="295"/>
      <c r="C82" s="220" t="str">
        <f>'BASE DATOS MATERIALES'!A74</f>
        <v>PERNO PIN ACERO GALVANIZADO ROSCA PLASTICA DE 50mm 19x305mm (3/4"x12")</v>
      </c>
      <c r="D82" s="248"/>
      <c r="E82" s="253" t="s">
        <v>77</v>
      </c>
      <c r="F82" s="262">
        <f>(F166*2)+(F168*4)+(F169*3)+(F171*6)+(F172*3)+(F173*2)+I82</f>
        <v>0</v>
      </c>
      <c r="G82" s="259">
        <f>'BASE DATOS MATERIALES'!D74</f>
        <v>4.87</v>
      </c>
      <c r="H82" s="497">
        <f t="shared" si="3"/>
        <v>0</v>
      </c>
      <c r="I82" s="486"/>
      <c r="L82" s="211"/>
      <c r="M82" s="211"/>
      <c r="N82" s="212"/>
      <c r="O82" s="6"/>
    </row>
    <row r="83" spans="1:15" ht="12.75" customHeight="1" thickBot="1" x14ac:dyDescent="0.25">
      <c r="A83" s="496"/>
      <c r="B83" s="295"/>
      <c r="C83" s="454" t="str">
        <f>'BASE DATOS MATERIALES'!A77</f>
        <v>ABRAZADERA DE ACERO GALVANIZADO, PLETINA, 3 PERNOS, 38x4x140 mm (1 1/2" X 5/32" X 5 1/2")</v>
      </c>
      <c r="D83" s="248"/>
      <c r="E83" s="253" t="s">
        <v>77</v>
      </c>
      <c r="F83" s="262">
        <f>F158+F162+F177+F179+F166+F169+(F174*3)+F191+F178+(F163*2)+I83</f>
        <v>145</v>
      </c>
      <c r="G83" s="259">
        <f>'BASE DATOS MATERIALES'!D77</f>
        <v>6.23</v>
      </c>
      <c r="H83" s="497">
        <f t="shared" si="3"/>
        <v>903.35</v>
      </c>
      <c r="I83" s="486"/>
      <c r="L83" s="211"/>
      <c r="M83" s="211"/>
      <c r="N83" s="212"/>
      <c r="O83" s="6"/>
    </row>
    <row r="84" spans="1:15" ht="12.75" customHeight="1" thickBot="1" x14ac:dyDescent="0.25">
      <c r="A84" s="496"/>
      <c r="B84" s="295"/>
      <c r="C84" s="454" t="str">
        <f>'BASE DATOS MATERIALES'!A78</f>
        <v>ABRAZADERA DE ACERO GALVANIZADO, PLETINA, 4 PERNOS, 38x4x140 mm (1 1/2" X 5/32" X 5 1/2")</v>
      </c>
      <c r="D84" s="248"/>
      <c r="E84" s="253" t="s">
        <v>77</v>
      </c>
      <c r="F84" s="262">
        <f>F159+F167+F168+F170+F171+F172+(F173*2)+F180+I84</f>
        <v>0</v>
      </c>
      <c r="G84" s="259">
        <f>'BASE DATOS MATERIALES'!D78</f>
        <v>8.34</v>
      </c>
      <c r="H84" s="497">
        <f t="shared" si="3"/>
        <v>0</v>
      </c>
      <c r="I84" s="486"/>
      <c r="L84" s="211"/>
      <c r="M84" s="211"/>
      <c r="N84" s="212"/>
      <c r="O84" s="6"/>
    </row>
    <row r="85" spans="1:15" ht="12.75" customHeight="1" thickBot="1" x14ac:dyDescent="0.25">
      <c r="A85" s="496"/>
      <c r="B85" s="295"/>
      <c r="C85" s="220" t="s">
        <v>250</v>
      </c>
      <c r="D85" s="248"/>
      <c r="E85" s="253" t="s">
        <v>77</v>
      </c>
      <c r="F85" s="262">
        <f>(2*F197)+I85</f>
        <v>36</v>
      </c>
      <c r="G85" s="259">
        <f>'BASE DATOS MATERIALES'!D79</f>
        <v>8.89</v>
      </c>
      <c r="H85" s="497">
        <f t="shared" si="3"/>
        <v>320.04000000000002</v>
      </c>
      <c r="I85" s="486"/>
      <c r="L85" s="211"/>
      <c r="M85" s="211"/>
      <c r="N85" s="212"/>
      <c r="O85" s="6"/>
    </row>
    <row r="86" spans="1:15" ht="12.75" customHeight="1" thickBot="1" x14ac:dyDescent="0.25">
      <c r="A86" s="496"/>
      <c r="B86" s="295"/>
      <c r="C86" s="453" t="str">
        <f>'BASE DATOS MATERIALES'!A80</f>
        <v>PERNO "U" DE ACERO GALVANIZADO, 2 TUERCAS, 2 ARANDELAS PLANAS Y 2 DE PRESION DE 16x152mm (5/8" X 6")</v>
      </c>
      <c r="D86" s="248"/>
      <c r="E86" s="253" t="s">
        <v>77</v>
      </c>
      <c r="F86" s="262">
        <f>F166+F169+I86</f>
        <v>0</v>
      </c>
      <c r="G86" s="259">
        <f>'BASE DATOS MATERIALES'!D80</f>
        <v>5</v>
      </c>
      <c r="H86" s="497">
        <f t="shared" si="3"/>
        <v>0</v>
      </c>
      <c r="I86" s="486"/>
      <c r="L86" s="211"/>
      <c r="M86" s="211"/>
      <c r="N86" s="212"/>
      <c r="O86" s="6"/>
    </row>
    <row r="87" spans="1:15" ht="12.75" customHeight="1" thickBot="1" x14ac:dyDescent="0.25">
      <c r="A87" s="496"/>
      <c r="B87" s="295"/>
      <c r="C87" s="220" t="s">
        <v>252</v>
      </c>
      <c r="D87" s="248"/>
      <c r="E87" s="253" t="s">
        <v>77</v>
      </c>
      <c r="F87" s="262">
        <f>F184+F185+F186+F187+F188+I87</f>
        <v>37</v>
      </c>
      <c r="G87" s="259">
        <f>'BASE DATOS MATERIALES'!D82</f>
        <v>11.48</v>
      </c>
      <c r="H87" s="497">
        <f t="shared" si="3"/>
        <v>424.76</v>
      </c>
      <c r="I87" s="486"/>
      <c r="L87" s="211"/>
      <c r="M87" s="211"/>
      <c r="N87" s="212"/>
      <c r="O87" s="6"/>
    </row>
    <row r="88" spans="1:15" ht="12.75" customHeight="1" thickBot="1" x14ac:dyDescent="0.25">
      <c r="A88" s="496"/>
      <c r="B88" s="295"/>
      <c r="C88" s="453" t="str">
        <f>'BASE DATOS MATERIALES'!A83</f>
        <v>PERNO PIN PUNTA DE POSTE SIMPLE DE ACERO GALVANIZADO CON ACCESORIOS DE SUJECION 19x457mm (3/4"x18")</v>
      </c>
      <c r="D88" s="248"/>
      <c r="E88" s="253" t="s">
        <v>77</v>
      </c>
      <c r="F88" s="262">
        <f>F160+F159+F173+F166+I88</f>
        <v>28</v>
      </c>
      <c r="G88" s="259">
        <f>'BASE DATOS MATERIALES'!D83</f>
        <v>15.41</v>
      </c>
      <c r="H88" s="497">
        <f t="shared" si="3"/>
        <v>431.48</v>
      </c>
      <c r="I88" s="486"/>
      <c r="L88" s="211"/>
      <c r="M88" s="211"/>
      <c r="N88" s="212"/>
      <c r="O88" s="6"/>
    </row>
    <row r="89" spans="1:15" ht="12.75" customHeight="1" thickBot="1" x14ac:dyDescent="0.25">
      <c r="A89" s="496"/>
      <c r="B89" s="295"/>
      <c r="C89" s="220" t="s">
        <v>253</v>
      </c>
      <c r="D89" s="248"/>
      <c r="E89" s="253" t="s">
        <v>77</v>
      </c>
      <c r="F89" s="262">
        <f>F161+F168+I89</f>
        <v>0</v>
      </c>
      <c r="G89" s="259">
        <f>'BASE DATOS MATERIALES'!D84</f>
        <v>16.36</v>
      </c>
      <c r="H89" s="497">
        <f t="shared" si="3"/>
        <v>0</v>
      </c>
      <c r="I89" s="486"/>
      <c r="L89" s="211"/>
      <c r="M89" s="211"/>
      <c r="N89" s="212"/>
      <c r="O89" s="6"/>
    </row>
    <row r="90" spans="1:15" ht="12.75" customHeight="1" thickBot="1" x14ac:dyDescent="0.25">
      <c r="A90" s="496"/>
      <c r="B90" s="295"/>
      <c r="C90" s="220" t="s">
        <v>256</v>
      </c>
      <c r="D90" s="248"/>
      <c r="E90" s="253" t="s">
        <v>77</v>
      </c>
      <c r="F90" s="262">
        <f>F197+I90+F159+F163</f>
        <v>20</v>
      </c>
      <c r="G90" s="259">
        <f>'BASE DATOS MATERIALES'!D87</f>
        <v>6.73</v>
      </c>
      <c r="H90" s="497">
        <f t="shared" si="3"/>
        <v>134.6</v>
      </c>
      <c r="I90" s="486"/>
      <c r="L90" s="211"/>
      <c r="M90" s="211"/>
      <c r="N90" s="212"/>
      <c r="O90" s="6"/>
    </row>
    <row r="91" spans="1:15" ht="12.75" customHeight="1" thickBot="1" x14ac:dyDescent="0.25">
      <c r="A91" s="496"/>
      <c r="B91" s="295"/>
      <c r="C91" s="220" t="str">
        <f>'BASE DATOS MATERIALES'!A97</f>
        <v>BASTIDOR  DE ACERO GALVANIZADO 1 VIA, 38x4mm (1 1/2x11/64) CON BASE</v>
      </c>
      <c r="D91" s="248"/>
      <c r="E91" s="253" t="s">
        <v>77</v>
      </c>
      <c r="F91" s="262">
        <f>F177+F178+I91</f>
        <v>41</v>
      </c>
      <c r="G91" s="259">
        <f>'BASE DATOS MATERIALES'!D97</f>
        <v>2.97</v>
      </c>
      <c r="H91" s="497">
        <f t="shared" si="3"/>
        <v>121.77</v>
      </c>
      <c r="I91" s="486"/>
    </row>
    <row r="92" spans="1:15" ht="12.75" customHeight="1" thickBot="1" x14ac:dyDescent="0.25">
      <c r="A92" s="496"/>
      <c r="B92" s="295"/>
      <c r="C92" s="220" t="str">
        <f>'BASE DATOS MATERIALES'!A104</f>
        <v>PIE AMIGO ACERO, PERFIL "L" 38x38x6x1800mm (1 1/2x1 1/2x1/4x71")</v>
      </c>
      <c r="D92" s="248"/>
      <c r="E92" s="253" t="s">
        <v>77</v>
      </c>
      <c r="F92" s="262">
        <f>F169+(F170*2)+(F171*2)+(F172*2)+I92</f>
        <v>0</v>
      </c>
      <c r="G92" s="259">
        <f>'BASE DATOS MATERIALES'!D104</f>
        <v>19.71</v>
      </c>
      <c r="H92" s="497">
        <f t="shared" si="3"/>
        <v>0</v>
      </c>
      <c r="I92" s="486"/>
    </row>
    <row r="93" spans="1:15" ht="12.75" customHeight="1" thickBot="1" x14ac:dyDescent="0.25">
      <c r="A93" s="496"/>
      <c r="B93" s="295"/>
      <c r="C93" s="220" t="str">
        <f>'BASE DATOS MATERIALES'!A110</f>
        <v xml:space="preserve">Grapa terminal apernada tipo pistola, de aleación de Al 6 - 3/0 Conductor ACSR </v>
      </c>
      <c r="D93" s="248"/>
      <c r="E93" s="253" t="s">
        <v>77</v>
      </c>
      <c r="F93" s="262">
        <f>F158+(F159*2)+(F167*3)+(F170*3)+(F173*6)+(F172*6)+(F179*1)+(F180*2)+(F163*2)+I93</f>
        <v>103</v>
      </c>
      <c r="G93" s="259">
        <f>'BASE DATOS MATERIALES'!D110</f>
        <v>11.19</v>
      </c>
      <c r="H93" s="497">
        <f t="shared" ref="H93:H140" si="5">ROUND((F93*G93),2)</f>
        <v>1152.57</v>
      </c>
      <c r="I93" s="486"/>
    </row>
    <row r="94" spans="1:15" ht="12.75" customHeight="1" thickBot="1" x14ac:dyDescent="0.25">
      <c r="A94" s="496"/>
      <c r="B94" s="295"/>
      <c r="C94" s="220" t="str">
        <f>'BASE DATOS MATERIALES'!A115</f>
        <v>GRAPA ANGULAR APERNADA DE ALEACION  Al 5,08 - 15,75 mm (6 - 4/0 AWG)</v>
      </c>
      <c r="D94" s="248"/>
      <c r="E94" s="253" t="s">
        <v>77</v>
      </c>
      <c r="F94" s="262">
        <f>F162+(F174*3)+I94</f>
        <v>0</v>
      </c>
      <c r="G94" s="259">
        <f>'BASE DATOS MATERIALES'!D115</f>
        <v>14.58</v>
      </c>
      <c r="H94" s="497">
        <f t="shared" si="5"/>
        <v>0</v>
      </c>
      <c r="I94" s="486"/>
    </row>
    <row r="95" spans="1:15" ht="12.75" customHeight="1" thickBot="1" x14ac:dyDescent="0.25">
      <c r="A95" s="496"/>
      <c r="B95" s="295"/>
      <c r="C95" s="220" t="s">
        <v>282</v>
      </c>
      <c r="D95" s="248"/>
      <c r="E95" s="253" t="s">
        <v>77</v>
      </c>
      <c r="F95" s="262">
        <f>+F197+I95+(F43*2)</f>
        <v>20</v>
      </c>
      <c r="G95" s="259">
        <f>'BASE DATOS MATERIALES'!D117</f>
        <v>14.7</v>
      </c>
      <c r="H95" s="497">
        <f>ROUND((F95*G95),2)</f>
        <v>294</v>
      </c>
      <c r="I95" s="486"/>
    </row>
    <row r="96" spans="1:15" ht="12.75" customHeight="1" thickBot="1" x14ac:dyDescent="0.25">
      <c r="A96" s="496"/>
      <c r="B96" s="295"/>
      <c r="C96" s="220" t="str">
        <f>'BASE DATOS MATERIALES'!A184</f>
        <v>TUERCA DE OJO OVALADO DE ACERO GALVANIZADO, PARA PERNO DE 16 mm (5/8") DE DIAM.</v>
      </c>
      <c r="D96" s="248"/>
      <c r="E96" s="253" t="s">
        <v>77</v>
      </c>
      <c r="F96" s="262">
        <f>F158+(F159*2)+F162+F179+F167+(F173*4)+(F174*3)+(F180*2)+(F163*2)+(F172*3)+I96</f>
        <v>103</v>
      </c>
      <c r="G96" s="259">
        <f>'BASE DATOS MATERIALES'!D184</f>
        <v>2.31</v>
      </c>
      <c r="H96" s="497">
        <f t="shared" si="5"/>
        <v>237.93</v>
      </c>
      <c r="I96" s="486"/>
    </row>
    <row r="97" spans="1:9" ht="12.75" customHeight="1" thickBot="1" x14ac:dyDescent="0.25">
      <c r="A97" s="496"/>
      <c r="B97" s="295"/>
      <c r="C97" s="220" t="str">
        <f>'BASE DATOS MATERIALES'!A187</f>
        <v>CRUCETA DE ACERO GALVANIZADO, UNIVERSAL, PERFIL "L" 75x75x6mmx2mts</v>
      </c>
      <c r="D97" s="248"/>
      <c r="E97" s="253" t="s">
        <v>77</v>
      </c>
      <c r="F97" s="262">
        <f>(F166*1)+(F167*2)+(F168*2)+(F173*2)+I97</f>
        <v>0</v>
      </c>
      <c r="G97" s="259">
        <f>'BASE DATOS MATERIALES'!D187</f>
        <v>72.88</v>
      </c>
      <c r="H97" s="497">
        <f t="shared" si="5"/>
        <v>0</v>
      </c>
      <c r="I97" s="486"/>
    </row>
    <row r="98" spans="1:9" ht="12.75" customHeight="1" thickBot="1" x14ac:dyDescent="0.25">
      <c r="A98" s="496"/>
      <c r="B98" s="295"/>
      <c r="C98" s="220" t="str">
        <f>'BASE DATOS MATERIALES'!A188</f>
        <v>CRUCETA DE ACERO GALVANIZADO, UNIVERSAL, PERFIL "L" 75x75x6mmx2,4mts</v>
      </c>
      <c r="D98" s="248"/>
      <c r="E98" s="253"/>
      <c r="F98" s="262">
        <f>+(F169*1)+(F170*2)+(F171*2)+(F172*2)+I98</f>
        <v>0</v>
      </c>
      <c r="G98" s="259">
        <f>'BASE DATOS MATERIALES'!D188</f>
        <v>79.7</v>
      </c>
      <c r="H98" s="497">
        <f t="shared" si="5"/>
        <v>0</v>
      </c>
      <c r="I98" s="486"/>
    </row>
    <row r="99" spans="1:9" ht="12.75" customHeight="1" thickBot="1" x14ac:dyDescent="0.25">
      <c r="A99" s="496"/>
      <c r="B99" s="295"/>
      <c r="C99" s="220" t="s">
        <v>1003</v>
      </c>
      <c r="D99" s="248"/>
      <c r="E99" s="253" t="s">
        <v>77</v>
      </c>
      <c r="F99" s="262">
        <f>(F166*2)+(F167*4)+(F168*4)+(F169*1)+(F170*2)+(F171*2)+(F172*2)+(F173*4)+I99</f>
        <v>0</v>
      </c>
      <c r="G99" s="259">
        <f>'BASE DATOS MATERIALES'!D190</f>
        <v>1.66</v>
      </c>
      <c r="H99" s="497">
        <f t="shared" si="5"/>
        <v>0</v>
      </c>
      <c r="I99" s="486"/>
    </row>
    <row r="100" spans="1:9" ht="12.75" customHeight="1" thickBot="1" x14ac:dyDescent="0.25">
      <c r="A100" s="496"/>
      <c r="B100" s="295"/>
      <c r="C100" s="220" t="str">
        <f>'BASE DATOS MATERIALES'!A191</f>
        <v>PIE AMIGO DE ACERO GALVANIZADO PERFIL "L" 38x38x6x700MM (1 1/2"x1 1/2"x1/4"x27 9/16)"</v>
      </c>
      <c r="D100" s="248"/>
      <c r="E100" s="253" t="s">
        <v>77</v>
      </c>
      <c r="F100" s="262">
        <f>(F166*2)+(F167*4)+(F168*4)+(F173*4)+I100</f>
        <v>0</v>
      </c>
      <c r="G100" s="259">
        <f>'BASE DATOS MATERIALES'!D191</f>
        <v>6.79</v>
      </c>
      <c r="H100" s="497">
        <f t="shared" si="5"/>
        <v>0</v>
      </c>
      <c r="I100" s="486"/>
    </row>
    <row r="101" spans="1:9" ht="12.75" customHeight="1" thickBot="1" x14ac:dyDescent="0.25">
      <c r="A101" s="496"/>
      <c r="B101" s="295"/>
      <c r="C101" s="220" t="s">
        <v>287</v>
      </c>
      <c r="D101" s="248"/>
      <c r="E101" s="253" t="s">
        <v>77</v>
      </c>
      <c r="F101" s="262">
        <f>F187+F188+I101</f>
        <v>0</v>
      </c>
      <c r="G101" s="259">
        <f>'BASE DATOS MATERIALES'!D124</f>
        <v>28.32</v>
      </c>
      <c r="H101" s="495">
        <f t="shared" si="5"/>
        <v>0</v>
      </c>
      <c r="I101" s="486"/>
    </row>
    <row r="102" spans="1:9" ht="12.75" customHeight="1" x14ac:dyDescent="0.2">
      <c r="A102" s="496"/>
      <c r="B102" s="295"/>
      <c r="C102" s="686"/>
      <c r="D102" s="687"/>
      <c r="E102" s="257"/>
      <c r="F102" s="262"/>
      <c r="G102" s="259"/>
      <c r="H102" s="495"/>
    </row>
    <row r="103" spans="1:9" ht="12.75" customHeight="1" thickBot="1" x14ac:dyDescent="0.25">
      <c r="A103" s="496"/>
      <c r="B103" s="232" t="s">
        <v>198</v>
      </c>
      <c r="C103" s="217" t="s">
        <v>285</v>
      </c>
      <c r="D103" s="248"/>
      <c r="E103" s="257"/>
      <c r="F103" s="262"/>
      <c r="G103" s="259"/>
      <c r="H103" s="495"/>
    </row>
    <row r="104" spans="1:9" ht="12.75" customHeight="1" thickBot="1" x14ac:dyDescent="0.25">
      <c r="A104" s="496"/>
      <c r="B104" s="295"/>
      <c r="C104" s="220" t="s">
        <v>385</v>
      </c>
      <c r="D104" s="248"/>
      <c r="E104" s="253" t="s">
        <v>77</v>
      </c>
      <c r="F104" s="262">
        <f>F87+I104</f>
        <v>37</v>
      </c>
      <c r="G104" s="259">
        <f>'BASE DATOS MATERIALES'!D122</f>
        <v>6.47</v>
      </c>
      <c r="H104" s="495">
        <f t="shared" si="5"/>
        <v>239.39</v>
      </c>
      <c r="I104" s="486"/>
    </row>
    <row r="105" spans="1:9" ht="12.75" customHeight="1" thickBot="1" x14ac:dyDescent="0.25">
      <c r="A105" s="496"/>
      <c r="B105" s="295"/>
      <c r="C105" s="220" t="s">
        <v>286</v>
      </c>
      <c r="D105" s="248"/>
      <c r="E105" s="253" t="s">
        <v>77</v>
      </c>
      <c r="F105" s="262">
        <f>(F184*2)+(F185*1)+(F186*1)+(F187*1)+(F188*1)+I105</f>
        <v>38</v>
      </c>
      <c r="G105" s="259">
        <f>'BASE DATOS MATERIALES'!D123</f>
        <v>1.01</v>
      </c>
      <c r="H105" s="495">
        <f t="shared" si="5"/>
        <v>38.380000000000003</v>
      </c>
      <c r="I105" s="486"/>
    </row>
    <row r="106" spans="1:9" ht="12.75" customHeight="1" x14ac:dyDescent="0.2">
      <c r="A106" s="496"/>
      <c r="B106" s="295"/>
      <c r="C106" s="686"/>
      <c r="D106" s="687"/>
      <c r="E106" s="257"/>
      <c r="F106" s="262"/>
      <c r="G106" s="259"/>
      <c r="H106" s="495"/>
    </row>
    <row r="107" spans="1:9" ht="12.75" customHeight="1" thickBot="1" x14ac:dyDescent="0.25">
      <c r="A107" s="496"/>
      <c r="B107" s="232" t="s">
        <v>200</v>
      </c>
      <c r="C107" s="217" t="s">
        <v>288</v>
      </c>
      <c r="D107" s="248"/>
      <c r="E107" s="257"/>
      <c r="F107" s="262"/>
      <c r="G107" s="259"/>
      <c r="H107" s="495"/>
    </row>
    <row r="108" spans="1:9" ht="12.75" customHeight="1" thickBot="1" x14ac:dyDescent="0.25">
      <c r="A108" s="496"/>
      <c r="B108" s="295"/>
      <c r="C108" s="220" t="s">
        <v>291</v>
      </c>
      <c r="D108" s="248"/>
      <c r="E108" s="253" t="s">
        <v>77</v>
      </c>
      <c r="F108" s="262">
        <f>+(F213*2)+(F214*2)+I108</f>
        <v>678</v>
      </c>
      <c r="G108" s="259">
        <f>'BASE DATOS MATERIALES'!D130</f>
        <v>0.79</v>
      </c>
      <c r="H108" s="497">
        <f t="shared" si="5"/>
        <v>535.62</v>
      </c>
      <c r="I108" s="486"/>
    </row>
    <row r="109" spans="1:9" ht="12.75" customHeight="1" thickBot="1" x14ac:dyDescent="0.25">
      <c r="A109" s="496"/>
      <c r="B109" s="295"/>
      <c r="C109" s="220" t="s">
        <v>293</v>
      </c>
      <c r="D109" s="248"/>
      <c r="E109" s="253" t="s">
        <v>77</v>
      </c>
      <c r="F109" s="262">
        <f>F179+(F180*2)+I109</f>
        <v>78</v>
      </c>
      <c r="G109" s="259">
        <f>'BASE DATOS MATERIALES'!D132</f>
        <v>4.51</v>
      </c>
      <c r="H109" s="497">
        <f t="shared" si="5"/>
        <v>351.78</v>
      </c>
      <c r="I109" s="486"/>
    </row>
    <row r="110" spans="1:9" ht="12.75" customHeight="1" thickBot="1" x14ac:dyDescent="0.25">
      <c r="A110" s="496"/>
      <c r="B110" s="295"/>
      <c r="C110" s="220" t="s">
        <v>299</v>
      </c>
      <c r="D110" s="248"/>
      <c r="E110" s="253" t="s">
        <v>77</v>
      </c>
      <c r="F110" s="262">
        <f>+(F213*2)+I110+(F214*2)</f>
        <v>678</v>
      </c>
      <c r="G110" s="259">
        <f>'BASE DATOS MATERIALES'!D138</f>
        <v>1.48</v>
      </c>
      <c r="H110" s="497">
        <f t="shared" si="5"/>
        <v>1003.44</v>
      </c>
      <c r="I110" s="486"/>
    </row>
    <row r="111" spans="1:9" ht="12.75" customHeight="1" thickBot="1" x14ac:dyDescent="0.25">
      <c r="A111" s="496"/>
      <c r="B111" s="295"/>
      <c r="C111" s="220" t="s">
        <v>308</v>
      </c>
      <c r="D111" s="247"/>
      <c r="E111" s="253" t="s">
        <v>77</v>
      </c>
      <c r="F111" s="262">
        <f>(F177*4)+(F179*9)+(F181*6)+(F213*6)+(F214*6)+(F197*12)+(F180*8)+(F178*4)+I111</f>
        <v>3260</v>
      </c>
      <c r="G111" s="259">
        <f>'BASE DATOS MATERIALES'!D147</f>
        <v>0.18</v>
      </c>
      <c r="H111" s="497">
        <f t="shared" si="5"/>
        <v>586.79999999999995</v>
      </c>
      <c r="I111" s="486"/>
    </row>
    <row r="112" spans="1:9" ht="12.75" customHeight="1" thickBot="1" x14ac:dyDescent="0.25">
      <c r="A112" s="496"/>
      <c r="B112" s="295"/>
      <c r="C112" s="220" t="s">
        <v>309</v>
      </c>
      <c r="D112" s="248"/>
      <c r="E112" s="253" t="s">
        <v>77</v>
      </c>
      <c r="F112" s="262">
        <f>(F179*3)+I112</f>
        <v>234</v>
      </c>
      <c r="G112" s="259">
        <f>'BASE DATOS MATERIALES'!D148</f>
        <v>0.64</v>
      </c>
      <c r="H112" s="497">
        <f t="shared" si="5"/>
        <v>149.76</v>
      </c>
      <c r="I112" s="486"/>
    </row>
    <row r="113" spans="1:9" ht="12.75" customHeight="1" thickBot="1" x14ac:dyDescent="0.25">
      <c r="A113" s="496"/>
      <c r="B113" s="295"/>
      <c r="C113" s="220" t="s">
        <v>312</v>
      </c>
      <c r="D113" s="248"/>
      <c r="E113" s="253" t="s">
        <v>77</v>
      </c>
      <c r="F113" s="262">
        <f>+(F213*2)+I113+(F214*2)</f>
        <v>678</v>
      </c>
      <c r="G113" s="259">
        <f>'BASE DATOS MATERIALES'!D151</f>
        <v>2.09</v>
      </c>
      <c r="H113" s="497">
        <f t="shared" si="5"/>
        <v>1417.02</v>
      </c>
      <c r="I113" s="486"/>
    </row>
    <row r="114" spans="1:9" ht="12.75" customHeight="1" thickBot="1" x14ac:dyDescent="0.25">
      <c r="A114" s="496"/>
      <c r="B114" s="295"/>
      <c r="C114" s="220" t="s">
        <v>318</v>
      </c>
      <c r="D114" s="248"/>
      <c r="E114" s="253" t="s">
        <v>77</v>
      </c>
      <c r="F114" s="262">
        <f>+(F213*3)+I114+(F214*3)</f>
        <v>1017</v>
      </c>
      <c r="G114" s="259">
        <f>'BASE DATOS MATERIALES'!D157</f>
        <v>3.39</v>
      </c>
      <c r="H114" s="497">
        <f t="shared" si="5"/>
        <v>3447.63</v>
      </c>
      <c r="I114" s="486"/>
    </row>
    <row r="115" spans="1:9" ht="12.75" customHeight="1" thickBot="1" x14ac:dyDescent="0.25">
      <c r="A115" s="496"/>
      <c r="B115" s="295"/>
      <c r="C115" s="220" t="s">
        <v>319</v>
      </c>
      <c r="D115" s="248"/>
      <c r="E115" s="253" t="s">
        <v>77</v>
      </c>
      <c r="F115" s="262">
        <f>(F181*3)+I115+(F180*3)</f>
        <v>72</v>
      </c>
      <c r="G115" s="259">
        <f>'BASE DATOS MATERIALES'!D158</f>
        <v>2.94</v>
      </c>
      <c r="H115" s="497">
        <f t="shared" si="5"/>
        <v>211.68</v>
      </c>
      <c r="I115" s="486"/>
    </row>
    <row r="116" spans="1:9" ht="12.75" customHeight="1" thickBot="1" x14ac:dyDescent="0.25">
      <c r="A116" s="496"/>
      <c r="B116" s="295"/>
      <c r="C116" s="220" t="s">
        <v>321</v>
      </c>
      <c r="D116" s="247"/>
      <c r="E116" s="253" t="s">
        <v>77</v>
      </c>
      <c r="F116" s="262">
        <f>(F197*3)+I116</f>
        <v>54</v>
      </c>
      <c r="G116" s="259">
        <f>'BASE DATOS MATERIALES'!D160</f>
        <v>9.48</v>
      </c>
      <c r="H116" s="497">
        <f t="shared" si="5"/>
        <v>511.92</v>
      </c>
      <c r="I116" s="486"/>
    </row>
    <row r="117" spans="1:9" ht="12.75" customHeight="1" thickBot="1" x14ac:dyDescent="0.25">
      <c r="A117" s="496"/>
      <c r="B117" s="295"/>
      <c r="C117" s="220" t="s">
        <v>328</v>
      </c>
      <c r="D117" s="248"/>
      <c r="E117" s="253" t="s">
        <v>77</v>
      </c>
      <c r="F117" s="262">
        <f>+(F213*1)+I117+(F214*1)</f>
        <v>339</v>
      </c>
      <c r="G117" s="259">
        <f>'BASE DATOS MATERIALES'!D167</f>
        <v>0.94</v>
      </c>
      <c r="H117" s="497">
        <f t="shared" si="5"/>
        <v>318.66000000000003</v>
      </c>
      <c r="I117" s="486"/>
    </row>
    <row r="118" spans="1:9" ht="12.75" customHeight="1" x14ac:dyDescent="0.2">
      <c r="A118" s="496"/>
      <c r="B118" s="295"/>
      <c r="C118" s="213"/>
      <c r="D118" s="225"/>
      <c r="E118" s="257"/>
      <c r="F118" s="262"/>
      <c r="G118" s="259"/>
      <c r="H118" s="495"/>
    </row>
    <row r="119" spans="1:9" ht="16.5" thickBot="1" x14ac:dyDescent="0.25">
      <c r="A119" s="499"/>
      <c r="B119" s="232" t="s">
        <v>739</v>
      </c>
      <c r="C119" s="217" t="s">
        <v>737</v>
      </c>
      <c r="D119" s="249"/>
      <c r="E119" s="253"/>
      <c r="F119" s="254"/>
      <c r="G119" s="219"/>
      <c r="H119" s="495"/>
    </row>
    <row r="120" spans="1:9" ht="13.5" thickBot="1" x14ac:dyDescent="0.25">
      <c r="A120" s="499"/>
      <c r="B120" s="297"/>
      <c r="C120" s="132" t="s">
        <v>1015</v>
      </c>
      <c r="D120" s="250"/>
      <c r="E120" s="253" t="s">
        <v>77</v>
      </c>
      <c r="F120" s="254">
        <f>F213+I120+F217</f>
        <v>300</v>
      </c>
      <c r="G120" s="255">
        <f>'BASE DATOS MATERIALES'!D206</f>
        <v>24.8</v>
      </c>
      <c r="H120" s="495">
        <f t="shared" si="5"/>
        <v>7440</v>
      </c>
      <c r="I120" s="486"/>
    </row>
    <row r="121" spans="1:9" ht="13.5" thickBot="1" x14ac:dyDescent="0.25">
      <c r="A121" s="499"/>
      <c r="B121" s="297"/>
      <c r="C121" s="132" t="s">
        <v>738</v>
      </c>
      <c r="D121" s="250"/>
      <c r="E121" s="253" t="s">
        <v>77</v>
      </c>
      <c r="F121" s="254">
        <f>+F213+I121+F217</f>
        <v>300</v>
      </c>
      <c r="G121" s="255">
        <f>'BASE DATOS MATERIALES'!D208</f>
        <v>14.31</v>
      </c>
      <c r="H121" s="495">
        <f t="shared" si="5"/>
        <v>4293</v>
      </c>
      <c r="I121" s="486"/>
    </row>
    <row r="122" spans="1:9" ht="13.5" thickBot="1" x14ac:dyDescent="0.25">
      <c r="A122" s="499"/>
      <c r="B122" s="297"/>
      <c r="C122" s="132" t="s">
        <v>1035</v>
      </c>
      <c r="D122" s="250"/>
      <c r="E122" s="253" t="s">
        <v>77</v>
      </c>
      <c r="F122" s="254">
        <f>+F213+F217+I122</f>
        <v>300</v>
      </c>
      <c r="G122" s="255">
        <f>'BASE DATOS MATERIALES'!D51</f>
        <v>12.6</v>
      </c>
      <c r="H122" s="495">
        <f t="shared" si="5"/>
        <v>3780</v>
      </c>
      <c r="I122" s="486"/>
    </row>
    <row r="123" spans="1:9" ht="13.5" thickBot="1" x14ac:dyDescent="0.25">
      <c r="A123" s="499"/>
      <c r="B123" s="297"/>
      <c r="C123" s="132" t="s">
        <v>777</v>
      </c>
      <c r="D123" s="250"/>
      <c r="E123" s="253" t="s">
        <v>77</v>
      </c>
      <c r="F123" s="254">
        <f>F213+F217+I123</f>
        <v>300</v>
      </c>
      <c r="G123" s="255">
        <f>'BASE DATOS MATERIALES'!D52</f>
        <v>14.85</v>
      </c>
      <c r="H123" s="495">
        <f t="shared" si="5"/>
        <v>4455</v>
      </c>
      <c r="I123" s="486"/>
    </row>
    <row r="124" spans="1:9" ht="13.5" thickBot="1" x14ac:dyDescent="0.25">
      <c r="A124" s="499"/>
      <c r="B124" s="297"/>
      <c r="C124" s="132" t="s">
        <v>1028</v>
      </c>
      <c r="D124" s="250"/>
      <c r="E124" s="253" t="s">
        <v>77</v>
      </c>
      <c r="F124" s="254">
        <f>F213+I124+F217</f>
        <v>300</v>
      </c>
      <c r="G124" s="255">
        <f>'BASE DATOS MATERIALES'!D215</f>
        <v>23</v>
      </c>
      <c r="H124" s="495">
        <f t="shared" si="5"/>
        <v>6900</v>
      </c>
      <c r="I124" s="486"/>
    </row>
    <row r="125" spans="1:9" ht="13.5" thickBot="1" x14ac:dyDescent="0.25">
      <c r="A125" s="499"/>
      <c r="B125" s="297"/>
      <c r="C125" s="132" t="s">
        <v>1019</v>
      </c>
      <c r="D125" s="250"/>
      <c r="E125" s="253" t="s">
        <v>77</v>
      </c>
      <c r="F125" s="254">
        <f>F213+I125+F217</f>
        <v>300</v>
      </c>
      <c r="G125" s="255">
        <f>'BASE DATOS MATERIALES'!D216</f>
        <v>20</v>
      </c>
      <c r="H125" s="495">
        <f t="shared" si="5"/>
        <v>6000</v>
      </c>
      <c r="I125" s="486"/>
    </row>
    <row r="126" spans="1:9" x14ac:dyDescent="0.2">
      <c r="A126" s="499"/>
      <c r="B126" s="297"/>
      <c r="C126" s="132"/>
      <c r="D126" s="250"/>
      <c r="E126" s="253"/>
      <c r="F126" s="254"/>
      <c r="G126" s="255"/>
      <c r="H126" s="495">
        <f t="shared" si="5"/>
        <v>0</v>
      </c>
      <c r="I126" s="598"/>
    </row>
    <row r="127" spans="1:9" ht="15.75" x14ac:dyDescent="0.2">
      <c r="A127" s="499"/>
      <c r="B127" s="232" t="s">
        <v>740</v>
      </c>
      <c r="C127" s="600" t="s">
        <v>1153</v>
      </c>
      <c r="D127" s="601"/>
      <c r="E127" s="253"/>
      <c r="F127" s="254"/>
      <c r="G127" s="255"/>
      <c r="H127" s="495">
        <f t="shared" si="5"/>
        <v>0</v>
      </c>
      <c r="I127" s="598"/>
    </row>
    <row r="128" spans="1:9" ht="15.75" x14ac:dyDescent="0.2">
      <c r="A128" s="499"/>
      <c r="B128" s="294"/>
      <c r="C128" s="693" t="s">
        <v>1155</v>
      </c>
      <c r="D128" s="693"/>
      <c r="E128" s="253" t="s">
        <v>77</v>
      </c>
      <c r="F128" s="254">
        <v>18</v>
      </c>
      <c r="G128" s="255">
        <v>90</v>
      </c>
      <c r="H128" s="495">
        <f t="shared" si="5"/>
        <v>1620</v>
      </c>
      <c r="I128" s="598"/>
    </row>
    <row r="129" spans="1:11" ht="15.75" x14ac:dyDescent="0.2">
      <c r="A129" s="499"/>
      <c r="B129" s="294"/>
      <c r="C129" s="693" t="s">
        <v>1156</v>
      </c>
      <c r="D129" s="693"/>
      <c r="E129" s="253" t="s">
        <v>77</v>
      </c>
      <c r="F129" s="254">
        <v>18</v>
      </c>
      <c r="G129" s="255">
        <v>87</v>
      </c>
      <c r="H129" s="495">
        <f t="shared" si="5"/>
        <v>1566</v>
      </c>
      <c r="I129" s="598"/>
    </row>
    <row r="130" spans="1:11" ht="15.75" x14ac:dyDescent="0.2">
      <c r="A130" s="499"/>
      <c r="B130" s="294"/>
      <c r="C130" s="693" t="s">
        <v>1157</v>
      </c>
      <c r="D130" s="693"/>
      <c r="E130" s="253" t="s">
        <v>378</v>
      </c>
      <c r="F130" s="254">
        <f>18*8</f>
        <v>144</v>
      </c>
      <c r="G130" s="255">
        <v>4.8899999999999997</v>
      </c>
      <c r="H130" s="495">
        <f t="shared" si="5"/>
        <v>704.16</v>
      </c>
      <c r="I130" s="598"/>
    </row>
    <row r="131" spans="1:11" ht="15.75" x14ac:dyDescent="0.2">
      <c r="A131" s="499"/>
      <c r="B131" s="294"/>
      <c r="C131" s="693" t="s">
        <v>1158</v>
      </c>
      <c r="D131" s="693"/>
      <c r="E131" s="253" t="s">
        <v>77</v>
      </c>
      <c r="F131" s="254">
        <v>18</v>
      </c>
      <c r="G131" s="255">
        <v>422.44</v>
      </c>
      <c r="H131" s="495">
        <f t="shared" si="5"/>
        <v>7603.92</v>
      </c>
      <c r="I131" s="598"/>
    </row>
    <row r="132" spans="1:11" ht="15.75" x14ac:dyDescent="0.2">
      <c r="A132" s="499"/>
      <c r="B132" s="294"/>
      <c r="C132" s="694" t="s">
        <v>1159</v>
      </c>
      <c r="D132" s="695" t="s">
        <v>1159</v>
      </c>
      <c r="E132" s="253" t="s">
        <v>77</v>
      </c>
      <c r="F132" s="254">
        <v>18</v>
      </c>
      <c r="G132" s="255">
        <v>5.77</v>
      </c>
      <c r="H132" s="495">
        <f t="shared" si="5"/>
        <v>103.86</v>
      </c>
      <c r="I132" s="598"/>
    </row>
    <row r="133" spans="1:11" ht="15.75" x14ac:dyDescent="0.2">
      <c r="A133" s="499"/>
      <c r="B133" s="294"/>
      <c r="C133" s="694" t="s">
        <v>1160</v>
      </c>
      <c r="D133" s="695" t="s">
        <v>1160</v>
      </c>
      <c r="E133" s="253" t="s">
        <v>77</v>
      </c>
      <c r="F133" s="254">
        <v>18</v>
      </c>
      <c r="G133" s="255">
        <v>1.47</v>
      </c>
      <c r="H133" s="495">
        <f t="shared" si="5"/>
        <v>26.46</v>
      </c>
      <c r="I133" s="598"/>
    </row>
    <row r="134" spans="1:11" ht="15.75" x14ac:dyDescent="0.2">
      <c r="A134" s="499"/>
      <c r="B134" s="294"/>
      <c r="C134" s="694" t="s">
        <v>1161</v>
      </c>
      <c r="D134" s="695" t="s">
        <v>1161</v>
      </c>
      <c r="E134" s="253" t="s">
        <v>77</v>
      </c>
      <c r="F134" s="254">
        <v>18</v>
      </c>
      <c r="G134" s="255">
        <v>0.53</v>
      </c>
      <c r="H134" s="495">
        <f t="shared" si="5"/>
        <v>9.5399999999999991</v>
      </c>
      <c r="I134" s="598"/>
    </row>
    <row r="135" spans="1:11" ht="15.75" x14ac:dyDescent="0.2">
      <c r="A135" s="499"/>
      <c r="B135" s="294"/>
      <c r="C135" s="694" t="s">
        <v>1162</v>
      </c>
      <c r="D135" s="695" t="s">
        <v>1162</v>
      </c>
      <c r="E135" s="253" t="s">
        <v>77</v>
      </c>
      <c r="F135" s="254">
        <f>18*3</f>
        <v>54</v>
      </c>
      <c r="G135" s="255">
        <v>0.53</v>
      </c>
      <c r="H135" s="495">
        <f t="shared" si="5"/>
        <v>28.62</v>
      </c>
      <c r="I135" s="598"/>
    </row>
    <row r="136" spans="1:11" x14ac:dyDescent="0.2">
      <c r="A136" s="499"/>
      <c r="B136" s="599"/>
      <c r="C136" s="694" t="s">
        <v>1163</v>
      </c>
      <c r="D136" s="695" t="s">
        <v>1163</v>
      </c>
      <c r="E136" s="253" t="s">
        <v>77</v>
      </c>
      <c r="F136" s="254">
        <f>18*3</f>
        <v>54</v>
      </c>
      <c r="G136" s="255">
        <v>0.5</v>
      </c>
      <c r="H136" s="495">
        <f t="shared" si="5"/>
        <v>27</v>
      </c>
      <c r="I136" s="598"/>
    </row>
    <row r="137" spans="1:11" x14ac:dyDescent="0.2">
      <c r="A137" s="499"/>
      <c r="B137" s="297"/>
      <c r="C137" s="696" t="s">
        <v>1164</v>
      </c>
      <c r="D137" s="697" t="s">
        <v>1164</v>
      </c>
      <c r="E137" s="253" t="s">
        <v>77</v>
      </c>
      <c r="F137" s="254">
        <v>18</v>
      </c>
      <c r="G137" s="255">
        <v>0.35</v>
      </c>
      <c r="H137" s="495">
        <f t="shared" si="5"/>
        <v>6.3</v>
      </c>
      <c r="I137" s="238">
        <f>H128+H129+H130+H131+H132+H134+H135+H136+H137</f>
        <v>11669.400000000001</v>
      </c>
    </row>
    <row r="138" spans="1:11" x14ac:dyDescent="0.2">
      <c r="A138" s="499"/>
      <c r="B138" s="297"/>
      <c r="C138" s="604"/>
      <c r="D138" s="605"/>
      <c r="E138" s="253"/>
      <c r="F138" s="254"/>
      <c r="G138" s="255"/>
      <c r="H138" s="495"/>
    </row>
    <row r="139" spans="1:11" ht="15.75" x14ac:dyDescent="0.2">
      <c r="A139" s="499"/>
      <c r="B139" s="232" t="s">
        <v>1154</v>
      </c>
      <c r="C139" s="217" t="s">
        <v>192</v>
      </c>
      <c r="D139" s="249"/>
      <c r="E139" s="253"/>
      <c r="F139" s="254"/>
      <c r="G139" s="255"/>
      <c r="H139" s="495"/>
    </row>
    <row r="140" spans="1:11" x14ac:dyDescent="0.2">
      <c r="A140" s="499"/>
      <c r="B140" s="297"/>
      <c r="C140" s="128" t="s">
        <v>755</v>
      </c>
      <c r="D140" s="250"/>
      <c r="E140" s="253" t="s">
        <v>194</v>
      </c>
      <c r="F140" s="303">
        <v>3390</v>
      </c>
      <c r="G140" s="255">
        <f>'BASE DATOS MATERIALES'!D36</f>
        <v>2.06</v>
      </c>
      <c r="H140" s="495">
        <f t="shared" si="5"/>
        <v>6983.4</v>
      </c>
    </row>
    <row r="141" spans="1:11" ht="12.75" customHeight="1" x14ac:dyDescent="0.2">
      <c r="A141" s="496"/>
      <c r="B141" s="295"/>
      <c r="C141" s="686"/>
      <c r="D141" s="687"/>
      <c r="E141" s="257"/>
      <c r="F141" s="262"/>
      <c r="G141" s="259"/>
      <c r="H141" s="500"/>
    </row>
    <row r="142" spans="1:11" ht="12.75" customHeight="1" x14ac:dyDescent="0.2">
      <c r="A142" s="688" t="s">
        <v>726</v>
      </c>
      <c r="B142" s="689"/>
      <c r="C142" s="689"/>
      <c r="D142" s="689"/>
      <c r="E142" s="689"/>
      <c r="F142" s="689"/>
      <c r="G142" s="689"/>
      <c r="H142" s="596">
        <f>SUBTOTAL(9,H12:H141)</f>
        <v>206864.70000000007</v>
      </c>
      <c r="I142" s="110">
        <f>H142*1.12</f>
        <v>231688.46400000009</v>
      </c>
    </row>
    <row r="143" spans="1:11" ht="12.75" customHeight="1" x14ac:dyDescent="0.2">
      <c r="A143" s="722" t="s">
        <v>453</v>
      </c>
      <c r="B143" s="723"/>
      <c r="C143" s="723"/>
      <c r="D143" s="723"/>
      <c r="E143" s="723"/>
      <c r="F143" s="723"/>
      <c r="G143" s="724"/>
      <c r="H143" s="501">
        <f>ROUND(((H142)*0.07),2)</f>
        <v>14480.53</v>
      </c>
      <c r="I143" s="110">
        <f t="shared" ref="I143:I144" si="6">H143*1.12</f>
        <v>16218.193600000002</v>
      </c>
      <c r="K143" s="136"/>
    </row>
    <row r="144" spans="1:11" ht="12.75" customHeight="1" x14ac:dyDescent="0.2">
      <c r="A144" s="722" t="s">
        <v>454</v>
      </c>
      <c r="B144" s="723"/>
      <c r="C144" s="723"/>
      <c r="D144" s="723"/>
      <c r="E144" s="723"/>
      <c r="F144" s="723"/>
      <c r="G144" s="724"/>
      <c r="H144" s="501">
        <f>ROUND(((H142)*0.05),2)</f>
        <v>10343.24</v>
      </c>
      <c r="I144" s="110">
        <f t="shared" si="6"/>
        <v>11584.428800000002</v>
      </c>
      <c r="K144" s="136"/>
    </row>
    <row r="145" spans="1:9" ht="12.75" customHeight="1" thickBot="1" x14ac:dyDescent="0.25">
      <c r="A145" s="725" t="s">
        <v>1140</v>
      </c>
      <c r="B145" s="726"/>
      <c r="C145" s="726"/>
      <c r="D145" s="726"/>
      <c r="E145" s="726"/>
      <c r="F145" s="726"/>
      <c r="G145" s="727"/>
      <c r="H145" s="502">
        <f>ROUND((SUM(H142+H143+H144)*0.12),2)</f>
        <v>27802.62</v>
      </c>
    </row>
    <row r="146" spans="1:9" ht="24.75" customHeight="1" thickBot="1" x14ac:dyDescent="0.35">
      <c r="A146" s="728" t="s">
        <v>727</v>
      </c>
      <c r="B146" s="729"/>
      <c r="C146" s="729"/>
      <c r="D146" s="729"/>
      <c r="E146" s="729"/>
      <c r="F146" s="730"/>
      <c r="G146" s="720">
        <f>SUM(H142:H145)</f>
        <v>259491.09000000005</v>
      </c>
      <c r="H146" s="721"/>
      <c r="I146" s="594">
        <f>I142+I143+I144</f>
        <v>259491.08640000009</v>
      </c>
    </row>
    <row r="147" spans="1:9" ht="14.25" customHeight="1" x14ac:dyDescent="0.3">
      <c r="A147" s="503"/>
      <c r="B147" s="222"/>
      <c r="C147" s="222"/>
      <c r="D147" s="222"/>
      <c r="E147" s="222"/>
      <c r="F147" s="223"/>
      <c r="G147" s="224"/>
      <c r="H147" s="504"/>
    </row>
    <row r="148" spans="1:9" ht="39" customHeight="1" x14ac:dyDescent="0.2">
      <c r="A148" s="684" t="s">
        <v>52</v>
      </c>
      <c r="B148" s="685"/>
      <c r="C148" s="685"/>
      <c r="D148" s="685"/>
      <c r="E148" s="120" t="s">
        <v>53</v>
      </c>
      <c r="F148" s="121" t="s">
        <v>54</v>
      </c>
      <c r="G148" s="120" t="s">
        <v>728</v>
      </c>
      <c r="H148" s="505" t="s">
        <v>729</v>
      </c>
    </row>
    <row r="149" spans="1:9" ht="18.75" x14ac:dyDescent="0.2">
      <c r="A149" s="493" t="s">
        <v>188</v>
      </c>
      <c r="B149" s="15" t="s">
        <v>725</v>
      </c>
      <c r="C149" s="122"/>
      <c r="D149" s="123"/>
      <c r="E149" s="227"/>
      <c r="F149" s="90"/>
      <c r="G149" s="20"/>
      <c r="H149" s="506"/>
    </row>
    <row r="150" spans="1:9" ht="16.5" thickBot="1" x14ac:dyDescent="0.25">
      <c r="A150" s="226"/>
      <c r="B150" s="294">
        <v>1</v>
      </c>
      <c r="C150" s="217" t="s">
        <v>913</v>
      </c>
      <c r="D150" s="245"/>
      <c r="E150" s="253"/>
      <c r="F150" s="254"/>
      <c r="G150" s="219"/>
      <c r="H150" s="494"/>
    </row>
    <row r="151" spans="1:9" ht="13.5" thickBot="1" x14ac:dyDescent="0.25">
      <c r="A151" s="226"/>
      <c r="B151" s="295"/>
      <c r="C151" s="218" t="s">
        <v>62</v>
      </c>
      <c r="D151" s="246"/>
      <c r="E151" s="253" t="s">
        <v>61</v>
      </c>
      <c r="F151" s="254">
        <f>ROUND((F12/1.02),2)+I151</f>
        <v>1.29</v>
      </c>
      <c r="G151" s="255">
        <f>'BASE DE DATO MANO DE OBRA'!G6</f>
        <v>385.08</v>
      </c>
      <c r="H151" s="495">
        <f>ROUND((F151*G151),2)</f>
        <v>496.75</v>
      </c>
      <c r="I151" s="486"/>
    </row>
    <row r="152" spans="1:9" ht="13.5" thickBot="1" x14ac:dyDescent="0.25">
      <c r="A152" s="226"/>
      <c r="B152" s="295"/>
      <c r="C152" s="218" t="s">
        <v>63</v>
      </c>
      <c r="D152" s="246"/>
      <c r="E152" s="253" t="s">
        <v>61</v>
      </c>
      <c r="F152" s="254">
        <f>ROUND((F13/1.02),2)+I152</f>
        <v>0</v>
      </c>
      <c r="G152" s="255">
        <f>'BASE DE DATO MANO DE OBRA'!G7</f>
        <v>412.45</v>
      </c>
      <c r="H152" s="495">
        <f t="shared" ref="H152:H154" si="7">ROUND((F152*G152),2)</f>
        <v>0</v>
      </c>
      <c r="I152" s="486"/>
    </row>
    <row r="153" spans="1:9" ht="13.5" thickBot="1" x14ac:dyDescent="0.25">
      <c r="A153" s="496"/>
      <c r="B153" s="295"/>
      <c r="C153" s="218" t="s">
        <v>922</v>
      </c>
      <c r="D153" s="246"/>
      <c r="E153" s="253" t="s">
        <v>61</v>
      </c>
      <c r="F153" s="254">
        <f>ROUND((F16/1.02),2)+I153</f>
        <v>2.59</v>
      </c>
      <c r="G153" s="255">
        <f>'BASE DE DATO MANO DE OBRA'!G17</f>
        <v>407.35</v>
      </c>
      <c r="H153" s="495">
        <f t="shared" si="7"/>
        <v>1055.04</v>
      </c>
      <c r="I153" s="486"/>
    </row>
    <row r="154" spans="1:9" ht="13.5" thickBot="1" x14ac:dyDescent="0.25">
      <c r="A154" s="496"/>
      <c r="B154" s="295"/>
      <c r="C154" s="218" t="s">
        <v>1037</v>
      </c>
      <c r="D154" s="246"/>
      <c r="E154" s="253" t="s">
        <v>61</v>
      </c>
      <c r="F154" s="254">
        <f>ROUND((F17/1.02),2)+I154</f>
        <v>0</v>
      </c>
      <c r="G154" s="255">
        <f>'BASE DE DATO MANO DE OBRA'!G6</f>
        <v>385.08</v>
      </c>
      <c r="H154" s="495">
        <f t="shared" si="7"/>
        <v>0</v>
      </c>
      <c r="I154" s="486"/>
    </row>
    <row r="155" spans="1:9" x14ac:dyDescent="0.2">
      <c r="A155" s="496"/>
      <c r="B155" s="295"/>
      <c r="C155" s="25"/>
      <c r="G155" s="331"/>
      <c r="H155" s="507"/>
      <c r="I155" s="6"/>
    </row>
    <row r="156" spans="1:9" s="238" customFormat="1" ht="15.75" x14ac:dyDescent="0.2">
      <c r="A156" s="508"/>
      <c r="B156" s="232" t="s">
        <v>74</v>
      </c>
      <c r="C156" s="233" t="s">
        <v>730</v>
      </c>
      <c r="D156" s="234"/>
      <c r="E156" s="235"/>
      <c r="F156" s="236"/>
      <c r="G156" s="237"/>
      <c r="H156" s="509"/>
    </row>
    <row r="157" spans="1:9" x14ac:dyDescent="0.2">
      <c r="A157" s="496"/>
      <c r="B157" s="17"/>
      <c r="C157" s="125" t="s">
        <v>914</v>
      </c>
      <c r="D157" s="19" t="s">
        <v>440</v>
      </c>
      <c r="E157" s="227"/>
      <c r="F157" s="90"/>
      <c r="G157" s="191"/>
      <c r="H157" s="510"/>
    </row>
    <row r="158" spans="1:9" ht="13.5" customHeight="1" x14ac:dyDescent="0.2">
      <c r="A158" s="496"/>
      <c r="B158" s="17"/>
      <c r="C158" s="21"/>
      <c r="D158" s="126" t="s">
        <v>414</v>
      </c>
      <c r="E158" s="227" t="s">
        <v>77</v>
      </c>
      <c r="F158" s="305">
        <v>21</v>
      </c>
      <c r="G158" s="191">
        <f>'BASE DE DATO MANO DE OBRA'!G28</f>
        <v>19.91</v>
      </c>
      <c r="H158" s="510">
        <f t="shared" ref="H158:H162" si="8">ROUND((F158*G158),2)</f>
        <v>418.11</v>
      </c>
    </row>
    <row r="159" spans="1:9" ht="13.5" customHeight="1" x14ac:dyDescent="0.2">
      <c r="A159" s="496"/>
      <c r="B159" s="17"/>
      <c r="C159" s="21"/>
      <c r="D159" s="126" t="s">
        <v>415</v>
      </c>
      <c r="E159" s="227" t="s">
        <v>77</v>
      </c>
      <c r="F159" s="305"/>
      <c r="G159" s="191">
        <f>'BASE DE DATO MANO DE OBRA'!G29</f>
        <v>18.96</v>
      </c>
      <c r="H159" s="510">
        <f t="shared" si="8"/>
        <v>0</v>
      </c>
    </row>
    <row r="160" spans="1:9" ht="13.5" customHeight="1" x14ac:dyDescent="0.2">
      <c r="A160" s="496"/>
      <c r="B160" s="17"/>
      <c r="C160" s="21"/>
      <c r="D160" s="126" t="s">
        <v>416</v>
      </c>
      <c r="E160" s="227" t="s">
        <v>77</v>
      </c>
      <c r="F160" s="305">
        <v>28</v>
      </c>
      <c r="G160" s="191">
        <f>'BASE DE DATO MANO DE OBRA'!G30</f>
        <v>14.7</v>
      </c>
      <c r="H160" s="510">
        <f t="shared" si="8"/>
        <v>411.6</v>
      </c>
    </row>
    <row r="161" spans="1:8" ht="13.5" customHeight="1" x14ac:dyDescent="0.2">
      <c r="A161" s="496"/>
      <c r="B161" s="17"/>
      <c r="C161" s="21"/>
      <c r="D161" s="126" t="s">
        <v>417</v>
      </c>
      <c r="E161" s="227" t="s">
        <v>77</v>
      </c>
      <c r="F161" s="305">
        <v>0</v>
      </c>
      <c r="G161" s="191">
        <f>'BASE DE DATO MANO DE OBRA'!G31</f>
        <v>16.59</v>
      </c>
      <c r="H161" s="510">
        <f t="shared" si="8"/>
        <v>0</v>
      </c>
    </row>
    <row r="162" spans="1:8" ht="13.5" customHeight="1" x14ac:dyDescent="0.2">
      <c r="A162" s="496"/>
      <c r="B162" s="17"/>
      <c r="C162" s="21"/>
      <c r="D162" s="126" t="s">
        <v>749</v>
      </c>
      <c r="E162" s="227" t="s">
        <v>77</v>
      </c>
      <c r="F162" s="305"/>
      <c r="G162" s="191">
        <f>'BASE DE DATO MANO DE OBRA'!G32</f>
        <v>18.96</v>
      </c>
      <c r="H162" s="510">
        <f t="shared" si="8"/>
        <v>0</v>
      </c>
    </row>
    <row r="163" spans="1:8" ht="13.5" customHeight="1" x14ac:dyDescent="0.2">
      <c r="A163" s="496"/>
      <c r="B163" s="17"/>
      <c r="C163" s="21"/>
      <c r="D163" s="126" t="s">
        <v>997</v>
      </c>
      <c r="E163" s="227" t="s">
        <v>77</v>
      </c>
      <c r="F163" s="305">
        <v>2</v>
      </c>
      <c r="G163" s="191">
        <f>'BASE DE DATO MANO DE OBRA'!G33</f>
        <v>22.99</v>
      </c>
      <c r="H163" s="510">
        <f t="shared" ref="H163" si="9">ROUND((F163*G163),2)</f>
        <v>45.98</v>
      </c>
    </row>
    <row r="164" spans="1:8" ht="13.5" hidden="1" customHeight="1" x14ac:dyDescent="0.2">
      <c r="A164" s="496"/>
      <c r="B164" s="17"/>
      <c r="C164" s="21"/>
      <c r="D164" s="19"/>
      <c r="E164" s="227"/>
      <c r="F164" s="90"/>
      <c r="G164" s="191"/>
      <c r="H164" s="510"/>
    </row>
    <row r="165" spans="1:8" hidden="1" x14ac:dyDescent="0.2">
      <c r="A165" s="496"/>
      <c r="B165" s="383"/>
      <c r="C165" s="125" t="s">
        <v>915</v>
      </c>
      <c r="D165" s="19" t="s">
        <v>441</v>
      </c>
      <c r="E165" s="227"/>
      <c r="F165" s="90"/>
      <c r="G165" s="191"/>
      <c r="H165" s="510"/>
    </row>
    <row r="166" spans="1:8" hidden="1" x14ac:dyDescent="0.2">
      <c r="A166" s="496"/>
      <c r="B166" s="383"/>
      <c r="C166" s="125"/>
      <c r="D166" s="126" t="s">
        <v>779</v>
      </c>
      <c r="E166" s="227" t="s">
        <v>77</v>
      </c>
      <c r="F166" s="484">
        <v>0</v>
      </c>
      <c r="G166" s="191">
        <f>'BASE DE DATO MANO DE OBRA'!G41</f>
        <v>33.950000000000003</v>
      </c>
      <c r="H166" s="510">
        <f t="shared" ref="H166:H174" si="10">ROUND((F166*G166),2)</f>
        <v>0</v>
      </c>
    </row>
    <row r="167" spans="1:8" hidden="1" x14ac:dyDescent="0.2">
      <c r="A167" s="496"/>
      <c r="B167" s="383"/>
      <c r="C167" s="125"/>
      <c r="D167" s="127" t="s">
        <v>418</v>
      </c>
      <c r="E167" s="227" t="s">
        <v>77</v>
      </c>
      <c r="F167" s="484">
        <v>0</v>
      </c>
      <c r="G167" s="191">
        <f>'BASE DE DATO MANO DE OBRA'!G42</f>
        <v>41.28</v>
      </c>
      <c r="H167" s="510">
        <f t="shared" si="10"/>
        <v>0</v>
      </c>
    </row>
    <row r="168" spans="1:8" hidden="1" x14ac:dyDescent="0.2">
      <c r="A168" s="496"/>
      <c r="B168" s="383"/>
      <c r="C168" s="125"/>
      <c r="D168" s="126" t="s">
        <v>748</v>
      </c>
      <c r="E168" s="227" t="s">
        <v>77</v>
      </c>
      <c r="F168" s="484">
        <v>0</v>
      </c>
      <c r="G168" s="191">
        <f>'BASE DE DATO MANO DE OBRA'!G43</f>
        <v>38.53</v>
      </c>
      <c r="H168" s="510">
        <f t="shared" si="10"/>
        <v>0</v>
      </c>
    </row>
    <row r="169" spans="1:8" hidden="1" x14ac:dyDescent="0.2">
      <c r="A169" s="496"/>
      <c r="B169" s="383"/>
      <c r="C169" s="125"/>
      <c r="D169" s="126" t="s">
        <v>419</v>
      </c>
      <c r="E169" s="227" t="s">
        <v>77</v>
      </c>
      <c r="F169" s="484">
        <v>0</v>
      </c>
      <c r="G169" s="191">
        <f>'BASE DE DATO MANO DE OBRA'!G44</f>
        <v>38.07</v>
      </c>
      <c r="H169" s="510">
        <f t="shared" si="10"/>
        <v>0</v>
      </c>
    </row>
    <row r="170" spans="1:8" hidden="1" x14ac:dyDescent="0.2">
      <c r="A170" s="496"/>
      <c r="B170" s="383"/>
      <c r="C170" s="125"/>
      <c r="D170" s="126" t="s">
        <v>780</v>
      </c>
      <c r="E170" s="227" t="s">
        <v>77</v>
      </c>
      <c r="F170" s="484">
        <v>0</v>
      </c>
      <c r="G170" s="191">
        <f>'BASE DE DATO MANO DE OBRA'!G45</f>
        <v>48.17</v>
      </c>
      <c r="H170" s="510">
        <f t="shared" si="10"/>
        <v>0</v>
      </c>
    </row>
    <row r="171" spans="1:8" hidden="1" x14ac:dyDescent="0.2">
      <c r="A171" s="496"/>
      <c r="B171" s="19"/>
      <c r="C171" s="125"/>
      <c r="D171" s="126" t="s">
        <v>420</v>
      </c>
      <c r="E171" s="227" t="s">
        <v>77</v>
      </c>
      <c r="F171" s="484">
        <v>0</v>
      </c>
      <c r="G171" s="191">
        <f>'BASE DE DATO MANO DE OBRA'!G46</f>
        <v>39.909999999999997</v>
      </c>
      <c r="H171" s="510">
        <f t="shared" si="10"/>
        <v>0</v>
      </c>
    </row>
    <row r="172" spans="1:8" hidden="1" x14ac:dyDescent="0.2">
      <c r="A172" s="496"/>
      <c r="B172" s="19"/>
      <c r="C172" s="125"/>
      <c r="D172" s="126" t="s">
        <v>421</v>
      </c>
      <c r="E172" s="227" t="s">
        <v>77</v>
      </c>
      <c r="F172" s="484">
        <v>0</v>
      </c>
      <c r="G172" s="191">
        <f>'BASE DE DATO MANO DE OBRA'!G47</f>
        <v>57.34</v>
      </c>
      <c r="H172" s="510">
        <f t="shared" si="10"/>
        <v>0</v>
      </c>
    </row>
    <row r="173" spans="1:8" hidden="1" x14ac:dyDescent="0.2">
      <c r="A173" s="496"/>
      <c r="B173" s="19"/>
      <c r="C173" s="125"/>
      <c r="D173" s="126" t="s">
        <v>422</v>
      </c>
      <c r="E173" s="227" t="s">
        <v>77</v>
      </c>
      <c r="F173" s="484">
        <v>0</v>
      </c>
      <c r="G173" s="191">
        <f>'BASE DE DATO MANO DE OBRA'!G48</f>
        <v>52.75</v>
      </c>
      <c r="H173" s="510">
        <f t="shared" si="10"/>
        <v>0</v>
      </c>
    </row>
    <row r="174" spans="1:8" hidden="1" x14ac:dyDescent="0.2">
      <c r="A174" s="496"/>
      <c r="B174" s="19"/>
      <c r="C174" s="125"/>
      <c r="D174" s="126" t="s">
        <v>423</v>
      </c>
      <c r="E174" s="227" t="s">
        <v>77</v>
      </c>
      <c r="F174" s="484">
        <v>0</v>
      </c>
      <c r="G174" s="191">
        <f>'BASE DE DATO MANO DE OBRA'!G49</f>
        <v>55.05</v>
      </c>
      <c r="H174" s="510">
        <f t="shared" si="10"/>
        <v>0</v>
      </c>
    </row>
    <row r="175" spans="1:8" x14ac:dyDescent="0.2">
      <c r="A175" s="496"/>
      <c r="B175" s="383"/>
      <c r="C175" s="125"/>
      <c r="D175" s="126"/>
      <c r="E175" s="227"/>
      <c r="F175" s="458"/>
      <c r="G175" s="191"/>
      <c r="H175" s="510"/>
    </row>
    <row r="176" spans="1:8" x14ac:dyDescent="0.2">
      <c r="A176" s="496"/>
      <c r="B176" s="383"/>
      <c r="C176" s="125" t="s">
        <v>916</v>
      </c>
      <c r="D176" s="19" t="s">
        <v>442</v>
      </c>
      <c r="E176" s="227"/>
      <c r="F176" s="90"/>
      <c r="G176" s="191"/>
      <c r="H176" s="510"/>
    </row>
    <row r="177" spans="1:15" x14ac:dyDescent="0.2">
      <c r="A177" s="496"/>
      <c r="B177" s="383"/>
      <c r="C177" s="125"/>
      <c r="D177" s="126" t="s">
        <v>746</v>
      </c>
      <c r="E177" s="227" t="s">
        <v>77</v>
      </c>
      <c r="F177" s="305">
        <v>31</v>
      </c>
      <c r="G177" s="191">
        <f>'BASE DE DATO MANO DE OBRA'!G71</f>
        <v>26.93</v>
      </c>
      <c r="H177" s="510">
        <f t="shared" ref="H177:H181" si="11">ROUND((F177*G177),2)</f>
        <v>834.83</v>
      </c>
    </row>
    <row r="178" spans="1:15" x14ac:dyDescent="0.2">
      <c r="A178" s="496"/>
      <c r="B178" s="383"/>
      <c r="C178" s="125"/>
      <c r="D178" s="126" t="s">
        <v>951</v>
      </c>
      <c r="E178" s="227" t="s">
        <v>77</v>
      </c>
      <c r="F178" s="305">
        <v>10</v>
      </c>
      <c r="G178" s="191">
        <f>'BASE DE DATO MANO DE OBRA'!G72</f>
        <v>24.89</v>
      </c>
      <c r="H178" s="510">
        <f t="shared" si="11"/>
        <v>248.9</v>
      </c>
    </row>
    <row r="179" spans="1:15" x14ac:dyDescent="0.2">
      <c r="A179" s="496"/>
      <c r="B179" s="383"/>
      <c r="C179" s="125"/>
      <c r="D179" s="126" t="s">
        <v>747</v>
      </c>
      <c r="E179" s="227" t="s">
        <v>77</v>
      </c>
      <c r="F179" s="305">
        <v>78</v>
      </c>
      <c r="G179" s="191">
        <f>'BASE DE DATO MANO DE OBRA'!G73</f>
        <v>34.68</v>
      </c>
      <c r="H179" s="510">
        <f t="shared" si="11"/>
        <v>2705.04</v>
      </c>
    </row>
    <row r="180" spans="1:15" x14ac:dyDescent="0.2">
      <c r="A180" s="496"/>
      <c r="B180" s="383"/>
      <c r="C180" s="125"/>
      <c r="D180" s="126" t="s">
        <v>952</v>
      </c>
      <c r="E180" s="227" t="s">
        <v>77</v>
      </c>
      <c r="F180" s="305"/>
      <c r="G180" s="191">
        <f>'BASE DE DATO MANO DE OBRA'!G74</f>
        <v>36.72</v>
      </c>
      <c r="H180" s="510">
        <f t="shared" si="11"/>
        <v>0</v>
      </c>
    </row>
    <row r="181" spans="1:15" s="238" customFormat="1" x14ac:dyDescent="0.2">
      <c r="A181" s="496"/>
      <c r="B181" s="383"/>
      <c r="C181" s="125"/>
      <c r="D181" s="126" t="s">
        <v>108</v>
      </c>
      <c r="E181" s="227" t="s">
        <v>77</v>
      </c>
      <c r="F181" s="305">
        <v>24</v>
      </c>
      <c r="G181" s="191">
        <f>'BASE DE DATO MANO DE OBRA'!G75</f>
        <v>10.43</v>
      </c>
      <c r="H181" s="510">
        <f t="shared" si="11"/>
        <v>250.32</v>
      </c>
    </row>
    <row r="182" spans="1:15" x14ac:dyDescent="0.2">
      <c r="A182" s="496"/>
      <c r="B182" s="383"/>
      <c r="C182" s="700"/>
      <c r="D182" s="700"/>
      <c r="E182" s="227"/>
      <c r="F182" s="90"/>
      <c r="G182" s="191"/>
      <c r="H182" s="510"/>
      <c r="I182" s="130"/>
      <c r="J182" s="130"/>
      <c r="K182" s="130"/>
      <c r="L182" s="130"/>
      <c r="M182" s="130"/>
      <c r="N182" s="130"/>
      <c r="O182" s="130"/>
    </row>
    <row r="183" spans="1:15" ht="15.75" x14ac:dyDescent="0.2">
      <c r="A183" s="508"/>
      <c r="B183" s="232" t="s">
        <v>82</v>
      </c>
      <c r="C183" s="233" t="s">
        <v>731</v>
      </c>
      <c r="D183" s="234"/>
      <c r="E183" s="235"/>
      <c r="F183" s="236"/>
      <c r="G183" s="237"/>
      <c r="H183" s="509"/>
    </row>
    <row r="184" spans="1:15" x14ac:dyDescent="0.2">
      <c r="A184" s="496"/>
      <c r="B184" s="17"/>
      <c r="C184" s="128" t="s">
        <v>750</v>
      </c>
      <c r="D184" s="129"/>
      <c r="E184" s="227" t="s">
        <v>77</v>
      </c>
      <c r="F184" s="305">
        <v>1</v>
      </c>
      <c r="G184" s="191">
        <f>'BASE DE DATO MANO DE OBRA'!G78</f>
        <v>22.68</v>
      </c>
      <c r="H184" s="510">
        <f t="shared" ref="H184:H188" si="12">ROUND((F184*G184),2)</f>
        <v>22.68</v>
      </c>
    </row>
    <row r="185" spans="1:15" x14ac:dyDescent="0.2">
      <c r="A185" s="496"/>
      <c r="B185" s="383"/>
      <c r="C185" s="128" t="s">
        <v>751</v>
      </c>
      <c r="D185" s="124"/>
      <c r="E185" s="227" t="s">
        <v>77</v>
      </c>
      <c r="F185" s="305">
        <v>7</v>
      </c>
      <c r="G185" s="191">
        <f>'BASE DE DATO MANO DE OBRA'!G79</f>
        <v>17.309999999999999</v>
      </c>
      <c r="H185" s="510">
        <f t="shared" si="12"/>
        <v>121.17</v>
      </c>
    </row>
    <row r="186" spans="1:15" x14ac:dyDescent="0.2">
      <c r="A186" s="496"/>
      <c r="B186" s="383"/>
      <c r="C186" s="128" t="s">
        <v>752</v>
      </c>
      <c r="D186" s="124"/>
      <c r="E186" s="227" t="s">
        <v>77</v>
      </c>
      <c r="F186" s="305">
        <v>29</v>
      </c>
      <c r="G186" s="191">
        <f>'BASE DE DATO MANO DE OBRA'!G80</f>
        <v>17.52</v>
      </c>
      <c r="H186" s="510">
        <f t="shared" si="12"/>
        <v>508.08</v>
      </c>
    </row>
    <row r="187" spans="1:15" x14ac:dyDescent="0.2">
      <c r="A187" s="496"/>
      <c r="B187" s="383"/>
      <c r="C187" s="128" t="s">
        <v>753</v>
      </c>
      <c r="D187" s="124"/>
      <c r="E187" s="227" t="s">
        <v>77</v>
      </c>
      <c r="F187" s="305">
        <v>0</v>
      </c>
      <c r="G187" s="191">
        <f>'BASE DE DATO MANO DE OBRA'!G81</f>
        <v>18.55</v>
      </c>
      <c r="H187" s="510">
        <f t="shared" si="12"/>
        <v>0</v>
      </c>
    </row>
    <row r="188" spans="1:15" s="241" customFormat="1" x14ac:dyDescent="0.2">
      <c r="A188" s="226"/>
      <c r="B188" s="383"/>
      <c r="C188" s="128" t="s">
        <v>754</v>
      </c>
      <c r="D188" s="124"/>
      <c r="E188" s="227" t="s">
        <v>77</v>
      </c>
      <c r="F188" s="305">
        <v>0</v>
      </c>
      <c r="G188" s="191">
        <f>'BASE DE DATO MANO DE OBRA'!G82</f>
        <v>18.55</v>
      </c>
      <c r="H188" s="510">
        <f t="shared" si="12"/>
        <v>0</v>
      </c>
    </row>
    <row r="189" spans="1:15" s="163" customFormat="1" ht="12" customHeight="1" x14ac:dyDescent="0.2">
      <c r="A189" s="226"/>
      <c r="B189" s="383"/>
      <c r="C189" s="700"/>
      <c r="D189" s="700"/>
      <c r="E189" s="227"/>
      <c r="F189" s="90"/>
      <c r="G189" s="191"/>
      <c r="H189" s="510"/>
    </row>
    <row r="190" spans="1:15" ht="16.5" thickBot="1" x14ac:dyDescent="0.25">
      <c r="A190" s="511"/>
      <c r="B190" s="232" t="s">
        <v>109</v>
      </c>
      <c r="C190" s="233" t="s">
        <v>732</v>
      </c>
      <c r="D190" s="234"/>
      <c r="E190" s="239"/>
      <c r="F190" s="240"/>
      <c r="G190" s="237"/>
      <c r="H190" s="509"/>
    </row>
    <row r="191" spans="1:15" s="238" customFormat="1" ht="13.5" thickBot="1" x14ac:dyDescent="0.25">
      <c r="A191" s="226"/>
      <c r="B191" s="383"/>
      <c r="C191" s="701" t="s">
        <v>424</v>
      </c>
      <c r="D191" s="702"/>
      <c r="E191" s="227" t="s">
        <v>77</v>
      </c>
      <c r="F191" s="461">
        <f>F43+I191</f>
        <v>1</v>
      </c>
      <c r="G191" s="190">
        <f>'BASE DE DATO MANO DE OBRA'!G85</f>
        <v>21.71</v>
      </c>
      <c r="H191" s="510">
        <f t="shared" ref="H191" si="13">ROUND((F191*G191),2)</f>
        <v>21.71</v>
      </c>
      <c r="I191" s="486"/>
    </row>
    <row r="192" spans="1:15" x14ac:dyDescent="0.2">
      <c r="A192" s="226"/>
      <c r="B192" s="383"/>
      <c r="C192" s="700"/>
      <c r="D192" s="700"/>
      <c r="E192" s="227"/>
      <c r="F192" s="90"/>
      <c r="G192" s="191"/>
      <c r="H192" s="510"/>
    </row>
    <row r="193" spans="1:9" ht="16.5" thickBot="1" x14ac:dyDescent="0.25">
      <c r="A193" s="512"/>
      <c r="B193" s="232" t="s">
        <v>116</v>
      </c>
      <c r="C193" s="233" t="s">
        <v>733</v>
      </c>
      <c r="D193" s="234"/>
      <c r="E193" s="235"/>
      <c r="F193" s="236"/>
      <c r="G193" s="237"/>
      <c r="H193" s="509"/>
    </row>
    <row r="194" spans="1:9" s="238" customFormat="1" ht="13.5" thickBot="1" x14ac:dyDescent="0.25">
      <c r="A194" s="226"/>
      <c r="B194" s="383"/>
      <c r="C194" s="132" t="s">
        <v>745</v>
      </c>
      <c r="D194" s="124"/>
      <c r="E194" s="227" t="s">
        <v>77</v>
      </c>
      <c r="F194" s="90">
        <f>F47+F48+I194</f>
        <v>96</v>
      </c>
      <c r="G194" s="191">
        <f>'BASE DE DATO MANO DE OBRA'!G94</f>
        <v>20.07</v>
      </c>
      <c r="H194" s="510">
        <f t="shared" ref="H194" si="14">ROUND((F194*G194),2)</f>
        <v>1926.72</v>
      </c>
      <c r="I194" s="486"/>
    </row>
    <row r="195" spans="1:9" x14ac:dyDescent="0.2">
      <c r="A195" s="226"/>
      <c r="B195" s="383"/>
      <c r="C195" s="700"/>
      <c r="D195" s="700"/>
      <c r="E195" s="227"/>
      <c r="F195" s="90"/>
      <c r="G195" s="191"/>
      <c r="H195" s="510"/>
    </row>
    <row r="196" spans="1:9" ht="16.5" thickBot="1" x14ac:dyDescent="0.25">
      <c r="A196" s="512"/>
      <c r="B196" s="232" t="s">
        <v>120</v>
      </c>
      <c r="C196" s="233" t="s">
        <v>742</v>
      </c>
      <c r="D196" s="234"/>
      <c r="E196" s="235"/>
      <c r="F196" s="236"/>
      <c r="G196" s="237"/>
      <c r="H196" s="509"/>
    </row>
    <row r="197" spans="1:9" s="238" customFormat="1" ht="13.5" thickBot="1" x14ac:dyDescent="0.25">
      <c r="A197" s="496"/>
      <c r="B197" s="19"/>
      <c r="C197" s="703" t="s">
        <v>734</v>
      </c>
      <c r="D197" s="704"/>
      <c r="E197" s="227" t="s">
        <v>77</v>
      </c>
      <c r="F197" s="90">
        <f>F35+F36+F37+F38+F39+F40+I197</f>
        <v>18</v>
      </c>
      <c r="G197" s="191">
        <f>'BASE DE DATO MANO DE OBRA'!G99</f>
        <v>129.59</v>
      </c>
      <c r="H197" s="510">
        <f t="shared" ref="H197" si="15">ROUND((F197*G197),2)</f>
        <v>2332.62</v>
      </c>
      <c r="I197" s="486">
        <v>0</v>
      </c>
    </row>
    <row r="198" spans="1:9" x14ac:dyDescent="0.2">
      <c r="A198" s="226"/>
      <c r="B198" s="383"/>
      <c r="C198" s="700"/>
      <c r="D198" s="700"/>
      <c r="E198" s="227"/>
      <c r="F198" s="90"/>
      <c r="G198" s="191"/>
      <c r="H198" s="510"/>
      <c r="I198" s="238"/>
    </row>
    <row r="199" spans="1:9" ht="16.5" thickBot="1" x14ac:dyDescent="0.25">
      <c r="A199" s="508"/>
      <c r="B199" s="232" t="s">
        <v>124</v>
      </c>
      <c r="C199" s="233" t="s">
        <v>743</v>
      </c>
      <c r="D199" s="234"/>
      <c r="E199" s="235"/>
      <c r="F199" s="236"/>
      <c r="G199" s="237"/>
      <c r="H199" s="509"/>
      <c r="I199" s="238"/>
    </row>
    <row r="200" spans="1:9" ht="13.5" thickBot="1" x14ac:dyDescent="0.25">
      <c r="A200" s="496"/>
      <c r="B200" s="227"/>
      <c r="C200" s="133" t="s">
        <v>391</v>
      </c>
      <c r="D200" s="124"/>
      <c r="E200" s="227" t="s">
        <v>61</v>
      </c>
      <c r="F200" s="396">
        <f>ROUND((I200),2)</f>
        <v>0</v>
      </c>
      <c r="G200" s="191">
        <f>'BASE DE DATO MANO DE OBRA'!G116</f>
        <v>295.22000000000003</v>
      </c>
      <c r="H200" s="510">
        <f t="shared" ref="H200:H209" si="16">ROUND((F200*G200),2)</f>
        <v>0</v>
      </c>
      <c r="I200" s="486">
        <v>0</v>
      </c>
    </row>
    <row r="201" spans="1:9" ht="13.5" thickBot="1" x14ac:dyDescent="0.25">
      <c r="A201" s="496"/>
      <c r="B201" s="227"/>
      <c r="C201" s="133" t="s">
        <v>394</v>
      </c>
      <c r="D201" s="124"/>
      <c r="E201" s="227" t="s">
        <v>61</v>
      </c>
      <c r="F201" s="396">
        <f t="shared" ref="F201:F203" si="17">ROUND((I201),2)</f>
        <v>0</v>
      </c>
      <c r="G201" s="191">
        <f>'BASE DE DATO MANO DE OBRA'!G117</f>
        <v>142.91</v>
      </c>
      <c r="H201" s="510">
        <f t="shared" si="16"/>
        <v>0</v>
      </c>
      <c r="I201" s="486">
        <v>0</v>
      </c>
    </row>
    <row r="202" spans="1:9" ht="13.5" thickBot="1" x14ac:dyDescent="0.25">
      <c r="A202" s="496"/>
      <c r="B202" s="227"/>
      <c r="C202" s="133" t="str">
        <f>'BASE DE DATO MANO DE OBRA'!C118</f>
        <v xml:space="preserve">REPLANTEO (Zona Rural, incluye planos fisicos y digitales) </v>
      </c>
      <c r="D202" s="124"/>
      <c r="E202" s="227" t="s">
        <v>61</v>
      </c>
      <c r="F202" s="396">
        <f t="shared" si="17"/>
        <v>0</v>
      </c>
      <c r="G202" s="191">
        <f>'BASE DE DATO MANO DE OBRA'!G118</f>
        <v>215.17</v>
      </c>
      <c r="H202" s="510">
        <f t="shared" si="16"/>
        <v>0</v>
      </c>
      <c r="I202" s="486">
        <v>0</v>
      </c>
    </row>
    <row r="203" spans="1:9" ht="13.5" thickBot="1" x14ac:dyDescent="0.25">
      <c r="A203" s="496"/>
      <c r="B203" s="227"/>
      <c r="C203" s="133" t="str">
        <f>'BASE DE DATO MANO DE OBRA'!C119</f>
        <v xml:space="preserve">REPLANTEO (Urbano marginal, incluye planos fisicos y digitales) </v>
      </c>
      <c r="D203" s="124"/>
      <c r="E203" s="227" t="s">
        <v>61</v>
      </c>
      <c r="F203" s="396">
        <f t="shared" si="17"/>
        <v>2.95</v>
      </c>
      <c r="G203" s="191">
        <f>'BASE DE DATO MANO DE OBRA'!G119</f>
        <v>158.4</v>
      </c>
      <c r="H203" s="510">
        <f t="shared" si="16"/>
        <v>467.28</v>
      </c>
      <c r="I203" s="486">
        <v>2.952</v>
      </c>
    </row>
    <row r="204" spans="1:9" ht="13.5" thickBot="1" x14ac:dyDescent="0.25">
      <c r="A204" s="496"/>
      <c r="B204" s="227"/>
      <c r="C204" s="133" t="s">
        <v>443</v>
      </c>
      <c r="D204" s="124"/>
      <c r="E204" s="227" t="s">
        <v>77</v>
      </c>
      <c r="F204" s="162">
        <f>+F20+F22+F24+F25+F27+F29+F184+F185+F186+F187+F188</f>
        <v>76</v>
      </c>
      <c r="G204" s="191">
        <f>'BASE DE DATO MANO DE OBRA'!G122</f>
        <v>30.57</v>
      </c>
      <c r="H204" s="510">
        <f t="shared" si="16"/>
        <v>2323.3200000000002</v>
      </c>
      <c r="I204" s="486">
        <v>0</v>
      </c>
    </row>
    <row r="205" spans="1:9" ht="13.5" thickBot="1" x14ac:dyDescent="0.25">
      <c r="A205" s="496"/>
      <c r="B205" s="227"/>
      <c r="C205" s="133" t="s">
        <v>1051</v>
      </c>
      <c r="D205" s="124"/>
      <c r="E205" s="227" t="s">
        <v>1052</v>
      </c>
      <c r="F205" s="162">
        <f>(F21+F23+F26+F28+F30)*1.7</f>
        <v>74.8</v>
      </c>
      <c r="G205" s="191">
        <v>20.6</v>
      </c>
      <c r="H205" s="510">
        <f t="shared" si="16"/>
        <v>1540.88</v>
      </c>
      <c r="I205" s="486">
        <v>0</v>
      </c>
    </row>
    <row r="206" spans="1:9" ht="13.5" thickBot="1" x14ac:dyDescent="0.25">
      <c r="A206" s="496"/>
      <c r="B206" s="227"/>
      <c r="C206" s="133" t="s">
        <v>444</v>
      </c>
      <c r="D206" s="124"/>
      <c r="E206" s="227" t="s">
        <v>77</v>
      </c>
      <c r="F206" s="162">
        <f>F20+F21+F22+F23+F24+F25+F26</f>
        <v>75</v>
      </c>
      <c r="G206" s="191">
        <f>'BASE DE DATO MANO DE OBRA'!G123</f>
        <v>33.659999999999997</v>
      </c>
      <c r="H206" s="510">
        <f t="shared" si="16"/>
        <v>2524.5</v>
      </c>
      <c r="I206" s="486">
        <v>0</v>
      </c>
    </row>
    <row r="207" spans="1:9" ht="13.5" thickBot="1" x14ac:dyDescent="0.25">
      <c r="A207" s="496"/>
      <c r="B207" s="227"/>
      <c r="C207" s="133" t="s">
        <v>1014</v>
      </c>
      <c r="D207" s="124"/>
      <c r="E207" s="227" t="s">
        <v>77</v>
      </c>
      <c r="F207" s="162">
        <v>0</v>
      </c>
      <c r="G207" s="191">
        <f>'BASE DE DATO MANO DE OBRA'!G124</f>
        <v>228.5</v>
      </c>
      <c r="H207" s="510">
        <f t="shared" si="16"/>
        <v>0</v>
      </c>
      <c r="I207" s="486">
        <v>0</v>
      </c>
    </row>
    <row r="208" spans="1:9" ht="13.5" thickBot="1" x14ac:dyDescent="0.25">
      <c r="A208" s="496"/>
      <c r="B208" s="227"/>
      <c r="C208" s="455" t="s">
        <v>1012</v>
      </c>
      <c r="D208" s="124"/>
      <c r="E208" s="227" t="s">
        <v>77</v>
      </c>
      <c r="F208" s="162">
        <f>F27+F28+F29+F30</f>
        <v>8</v>
      </c>
      <c r="G208" s="191">
        <f>'BASE DE DATO MANO DE OBRA'!G125</f>
        <v>77.03</v>
      </c>
      <c r="H208" s="510">
        <f t="shared" si="16"/>
        <v>616.24</v>
      </c>
      <c r="I208" s="486">
        <v>0</v>
      </c>
    </row>
    <row r="209" spans="1:9" s="238" customFormat="1" ht="13.5" thickBot="1" x14ac:dyDescent="0.25">
      <c r="A209" s="496"/>
      <c r="B209" s="227"/>
      <c r="C209" s="133" t="s">
        <v>393</v>
      </c>
      <c r="D209" s="124"/>
      <c r="E209" s="227" t="s">
        <v>77</v>
      </c>
      <c r="F209" s="162">
        <f>F184+F185+F186+F187+F188+I209</f>
        <v>37</v>
      </c>
      <c r="G209" s="191">
        <f>'BASE DE DATO MANO DE OBRA'!G126</f>
        <v>9.3699999999999992</v>
      </c>
      <c r="H209" s="510">
        <f t="shared" si="16"/>
        <v>346.69</v>
      </c>
      <c r="I209" s="486">
        <v>0</v>
      </c>
    </row>
    <row r="210" spans="1:9" x14ac:dyDescent="0.2">
      <c r="A210" s="496"/>
      <c r="B210" s="227"/>
      <c r="C210" s="133"/>
      <c r="D210" s="124"/>
      <c r="E210" s="227"/>
      <c r="F210" s="162"/>
      <c r="G210" s="191"/>
      <c r="H210" s="510"/>
    </row>
    <row r="211" spans="1:9" ht="12.75" customHeight="1" thickBot="1" x14ac:dyDescent="0.25">
      <c r="A211" s="512"/>
      <c r="B211" s="232" t="s">
        <v>128</v>
      </c>
      <c r="C211" s="233" t="s">
        <v>744</v>
      </c>
      <c r="D211" s="234"/>
      <c r="E211" s="235"/>
      <c r="F211" s="236"/>
      <c r="G211" s="242"/>
      <c r="H211" s="513"/>
      <c r="I211" s="238"/>
    </row>
    <row r="212" spans="1:9" ht="12.75" customHeight="1" thickBot="1" x14ac:dyDescent="0.25">
      <c r="A212" s="226"/>
      <c r="B212" s="16"/>
      <c r="C212" s="128" t="s">
        <v>755</v>
      </c>
      <c r="D212" s="124"/>
      <c r="E212" s="227" t="s">
        <v>194</v>
      </c>
      <c r="F212" s="90">
        <f>F140+I212</f>
        <v>3390</v>
      </c>
      <c r="G212" s="191">
        <v>0.18</v>
      </c>
      <c r="H212" s="510">
        <f t="shared" ref="H212:H228" si="18">ROUND((F212*G212),2)</f>
        <v>610.20000000000005</v>
      </c>
      <c r="I212" s="486"/>
    </row>
    <row r="213" spans="1:9" ht="12.75" customHeight="1" x14ac:dyDescent="0.2">
      <c r="A213" s="226"/>
      <c r="B213" s="16"/>
      <c r="C213" s="128" t="s">
        <v>1034</v>
      </c>
      <c r="D213" s="124"/>
      <c r="E213" s="227" t="s">
        <v>77</v>
      </c>
      <c r="F213" s="305">
        <v>300</v>
      </c>
      <c r="G213" s="191">
        <f>'BASE DE DATO MANO DE OBRA'!F183</f>
        <v>14.02</v>
      </c>
      <c r="H213" s="510">
        <f t="shared" si="18"/>
        <v>4206</v>
      </c>
    </row>
    <row r="214" spans="1:9" x14ac:dyDescent="0.2">
      <c r="A214" s="226"/>
      <c r="B214" s="383"/>
      <c r="C214" s="128" t="s">
        <v>1099</v>
      </c>
      <c r="D214" s="124"/>
      <c r="E214" s="227" t="s">
        <v>77</v>
      </c>
      <c r="F214" s="305">
        <v>39</v>
      </c>
      <c r="G214" s="191">
        <v>9.4499999999999993</v>
      </c>
      <c r="H214" s="510">
        <f t="shared" si="18"/>
        <v>368.55</v>
      </c>
    </row>
    <row r="215" spans="1:9" x14ac:dyDescent="0.2">
      <c r="A215" s="226"/>
      <c r="B215" s="383"/>
      <c r="C215" s="128" t="s">
        <v>1100</v>
      </c>
      <c r="D215" s="124"/>
      <c r="E215" s="227" t="s">
        <v>77</v>
      </c>
      <c r="F215" s="305"/>
      <c r="G215" s="191">
        <v>4.57</v>
      </c>
      <c r="H215" s="510">
        <f t="shared" si="18"/>
        <v>0</v>
      </c>
    </row>
    <row r="216" spans="1:9" x14ac:dyDescent="0.2">
      <c r="A216" s="226"/>
      <c r="B216" s="383"/>
      <c r="C216" s="128" t="s">
        <v>1101</v>
      </c>
      <c r="D216" s="124"/>
      <c r="E216" s="227" t="s">
        <v>77</v>
      </c>
      <c r="F216" s="305"/>
      <c r="G216" s="191">
        <v>9.4499999999999993</v>
      </c>
      <c r="H216" s="510">
        <f t="shared" si="18"/>
        <v>0</v>
      </c>
    </row>
    <row r="217" spans="1:9" ht="13.5" thickBot="1" x14ac:dyDescent="0.25">
      <c r="A217" s="226"/>
      <c r="B217" s="383"/>
      <c r="C217" s="128" t="s">
        <v>1102</v>
      </c>
      <c r="D217" s="124"/>
      <c r="E217" s="227" t="s">
        <v>77</v>
      </c>
      <c r="F217" s="305">
        <v>0</v>
      </c>
      <c r="G217" s="191">
        <v>9.4499999999999993</v>
      </c>
      <c r="H217" s="510">
        <f t="shared" si="18"/>
        <v>0</v>
      </c>
    </row>
    <row r="218" spans="1:9" ht="13.5" thickBot="1" x14ac:dyDescent="0.25">
      <c r="A218" s="226"/>
      <c r="B218" s="383"/>
      <c r="C218" s="128" t="s">
        <v>437</v>
      </c>
      <c r="D218" s="124"/>
      <c r="E218" s="227" t="s">
        <v>77</v>
      </c>
      <c r="F218" s="90">
        <f>+F213+F214+F216+F217+I218</f>
        <v>339</v>
      </c>
      <c r="G218" s="20">
        <f>'BASE DE DATO MANO DE OBRA'!F187</f>
        <v>1.6</v>
      </c>
      <c r="H218" s="510">
        <f t="shared" si="18"/>
        <v>542.4</v>
      </c>
      <c r="I218" s="486"/>
    </row>
    <row r="219" spans="1:9" s="238" customFormat="1" ht="13.5" thickBot="1" x14ac:dyDescent="0.25">
      <c r="A219" s="226"/>
      <c r="B219" s="383"/>
      <c r="C219" s="128" t="s">
        <v>918</v>
      </c>
      <c r="D219" s="124"/>
      <c r="E219" s="227" t="s">
        <v>77</v>
      </c>
      <c r="F219" s="90">
        <f>+F213+F214+F215+F216+F217+I219</f>
        <v>339</v>
      </c>
      <c r="G219" s="20">
        <v>3</v>
      </c>
      <c r="H219" s="510">
        <f t="shared" si="18"/>
        <v>1017</v>
      </c>
      <c r="I219" s="486"/>
    </row>
    <row r="220" spans="1:9" s="238" customFormat="1" x14ac:dyDescent="0.2">
      <c r="A220" s="226"/>
      <c r="B220" s="383"/>
      <c r="C220" s="128"/>
      <c r="D220" s="124"/>
      <c r="E220" s="227"/>
      <c r="F220" s="90"/>
      <c r="G220" s="20"/>
      <c r="H220" s="510">
        <f t="shared" si="18"/>
        <v>0</v>
      </c>
      <c r="I220" s="598"/>
    </row>
    <row r="221" spans="1:9" s="238" customFormat="1" ht="15.75" x14ac:dyDescent="0.2">
      <c r="A221" s="226"/>
      <c r="B221" s="383"/>
      <c r="C221" s="233" t="s">
        <v>1172</v>
      </c>
      <c r="D221" s="124"/>
      <c r="E221" s="227"/>
      <c r="F221" s="90"/>
      <c r="G221" s="20"/>
      <c r="H221" s="510">
        <f t="shared" si="18"/>
        <v>0</v>
      </c>
      <c r="I221" s="598"/>
    </row>
    <row r="222" spans="1:9" s="238" customFormat="1" x14ac:dyDescent="0.2">
      <c r="A222" s="226"/>
      <c r="B222" s="383"/>
      <c r="C222" s="602" t="s">
        <v>1165</v>
      </c>
      <c r="D222" s="602"/>
      <c r="E222" s="227" t="s">
        <v>77</v>
      </c>
      <c r="F222" s="90">
        <v>18</v>
      </c>
      <c r="G222" s="20">
        <v>25.299999999999997</v>
      </c>
      <c r="H222" s="510">
        <f t="shared" si="18"/>
        <v>455.4</v>
      </c>
      <c r="I222" s="598"/>
    </row>
    <row r="223" spans="1:9" s="238" customFormat="1" x14ac:dyDescent="0.2">
      <c r="A223" s="226"/>
      <c r="B223" s="383"/>
      <c r="C223" s="602" t="s">
        <v>1166</v>
      </c>
      <c r="D223" s="602"/>
      <c r="E223" s="227" t="s">
        <v>77</v>
      </c>
      <c r="F223" s="90">
        <v>18</v>
      </c>
      <c r="G223" s="20">
        <v>6.8999999999999995</v>
      </c>
      <c r="H223" s="510">
        <f t="shared" si="18"/>
        <v>124.2</v>
      </c>
      <c r="I223" s="598"/>
    </row>
    <row r="224" spans="1:9" s="238" customFormat="1" x14ac:dyDescent="0.2">
      <c r="A224" s="226"/>
      <c r="B224" s="383"/>
      <c r="C224" s="602" t="s">
        <v>1167</v>
      </c>
      <c r="D224" s="602"/>
      <c r="E224" s="227" t="s">
        <v>77</v>
      </c>
      <c r="F224" s="90">
        <v>18</v>
      </c>
      <c r="G224" s="20">
        <v>28.749999999999996</v>
      </c>
      <c r="H224" s="510">
        <f t="shared" si="18"/>
        <v>517.5</v>
      </c>
      <c r="I224" s="598"/>
    </row>
    <row r="225" spans="1:254" s="238" customFormat="1" x14ac:dyDescent="0.2">
      <c r="A225" s="226"/>
      <c r="B225" s="383"/>
      <c r="C225" s="602" t="s">
        <v>1168</v>
      </c>
      <c r="D225" s="602"/>
      <c r="E225" s="227" t="s">
        <v>77</v>
      </c>
      <c r="F225" s="90">
        <v>18</v>
      </c>
      <c r="G225" s="20">
        <v>6.8999999999999995</v>
      </c>
      <c r="H225" s="510">
        <f t="shared" si="18"/>
        <v>124.2</v>
      </c>
      <c r="I225" s="598"/>
    </row>
    <row r="226" spans="1:254" s="238" customFormat="1" x14ac:dyDescent="0.2">
      <c r="A226" s="226"/>
      <c r="B226" s="383"/>
      <c r="C226" s="602" t="s">
        <v>1169</v>
      </c>
      <c r="D226" s="602"/>
      <c r="E226" s="227" t="s">
        <v>77</v>
      </c>
      <c r="F226" s="90">
        <v>18</v>
      </c>
      <c r="G226" s="20">
        <v>4.5999999999999996</v>
      </c>
      <c r="H226" s="510">
        <f t="shared" si="18"/>
        <v>82.8</v>
      </c>
      <c r="I226" s="598"/>
    </row>
    <row r="227" spans="1:254" s="238" customFormat="1" x14ac:dyDescent="0.2">
      <c r="A227" s="226"/>
      <c r="B227" s="383"/>
      <c r="C227" s="603" t="s">
        <v>1170</v>
      </c>
      <c r="D227" s="602"/>
      <c r="E227" s="227" t="s">
        <v>77</v>
      </c>
      <c r="F227" s="90">
        <v>18</v>
      </c>
      <c r="G227" s="20">
        <v>13.799999999999999</v>
      </c>
      <c r="H227" s="510">
        <f t="shared" si="18"/>
        <v>248.4</v>
      </c>
      <c r="I227" s="598"/>
    </row>
    <row r="228" spans="1:254" s="238" customFormat="1" x14ac:dyDescent="0.2">
      <c r="A228" s="226"/>
      <c r="B228" s="383"/>
      <c r="C228" s="698" t="s">
        <v>1171</v>
      </c>
      <c r="D228" s="699"/>
      <c r="E228" s="227" t="s">
        <v>77</v>
      </c>
      <c r="F228" s="90">
        <v>18</v>
      </c>
      <c r="G228" s="20">
        <v>16.100000000000001</v>
      </c>
      <c r="H228" s="510">
        <f t="shared" si="18"/>
        <v>289.8</v>
      </c>
      <c r="I228" s="606">
        <f>H222+H223+H224+H226+H225+H226+H227+H228</f>
        <v>1925.1</v>
      </c>
    </row>
    <row r="229" spans="1:254" ht="12.75" customHeight="1" x14ac:dyDescent="0.2">
      <c r="A229" s="226"/>
      <c r="B229" s="383"/>
      <c r="C229" s="705"/>
      <c r="D229" s="706"/>
      <c r="E229" s="227"/>
      <c r="F229" s="90"/>
      <c r="G229" s="19"/>
      <c r="H229" s="514"/>
    </row>
    <row r="230" spans="1:254" ht="15.75" x14ac:dyDescent="0.2">
      <c r="A230" s="508"/>
      <c r="B230" s="232" t="s">
        <v>143</v>
      </c>
      <c r="C230" s="233" t="s">
        <v>432</v>
      </c>
      <c r="D230" s="234"/>
      <c r="E230" s="235"/>
      <c r="F230" s="236"/>
      <c r="G230" s="243"/>
      <c r="H230" s="509"/>
      <c r="I230" s="238"/>
      <c r="K230" s="110">
        <f>I137+I228</f>
        <v>13594.500000000002</v>
      </c>
      <c r="L230" s="238">
        <f>K230*1.12</f>
        <v>15225.840000000004</v>
      </c>
    </row>
    <row r="231" spans="1:254" x14ac:dyDescent="0.2">
      <c r="A231" s="226"/>
      <c r="B231" s="383"/>
      <c r="C231" s="133" t="s">
        <v>433</v>
      </c>
      <c r="D231" s="124"/>
      <c r="E231" s="227" t="s">
        <v>77</v>
      </c>
      <c r="F231" s="305">
        <v>80</v>
      </c>
      <c r="G231" s="191">
        <f>'BASE DE DATO MANO DE OBRA'!G129</f>
        <v>20.440000000000001</v>
      </c>
      <c r="H231" s="510">
        <f t="shared" ref="H231:H267" si="19">ROUND((F231*G231),2)</f>
        <v>1635.2</v>
      </c>
    </row>
    <row r="232" spans="1:254" x14ac:dyDescent="0.2">
      <c r="A232" s="226"/>
      <c r="B232" s="383"/>
      <c r="C232" s="133" t="s">
        <v>151</v>
      </c>
      <c r="D232" s="124"/>
      <c r="E232" s="227" t="s">
        <v>77</v>
      </c>
      <c r="F232" s="305">
        <v>0</v>
      </c>
      <c r="G232" s="191">
        <f>'BASE DE DATO MANO DE OBRA'!G130</f>
        <v>97.46</v>
      </c>
      <c r="H232" s="510">
        <f t="shared" si="19"/>
        <v>0</v>
      </c>
    </row>
    <row r="233" spans="1:254" s="25" customFormat="1" x14ac:dyDescent="0.2">
      <c r="A233" s="226"/>
      <c r="B233" s="383"/>
      <c r="C233" s="133" t="s">
        <v>152</v>
      </c>
      <c r="D233" s="124"/>
      <c r="E233" s="227" t="s">
        <v>77</v>
      </c>
      <c r="F233" s="305">
        <v>2</v>
      </c>
      <c r="G233" s="191">
        <f>'BASE DE DATO MANO DE OBRA'!G131</f>
        <v>108.68</v>
      </c>
      <c r="H233" s="510">
        <f t="shared" si="19"/>
        <v>217.36</v>
      </c>
      <c r="I233" s="110"/>
      <c r="J233" s="110"/>
      <c r="HP233" s="25" t="s">
        <v>66</v>
      </c>
      <c r="HQ233" s="25" t="s">
        <v>66</v>
      </c>
      <c r="HR233" s="25" t="s">
        <v>66</v>
      </c>
      <c r="HS233" s="25" t="s">
        <v>66</v>
      </c>
      <c r="HT233" s="25" t="s">
        <v>66</v>
      </c>
      <c r="HU233" s="25" t="s">
        <v>66</v>
      </c>
      <c r="HV233" s="25" t="s">
        <v>66</v>
      </c>
      <c r="HW233" s="25" t="s">
        <v>66</v>
      </c>
      <c r="HX233" s="25" t="s">
        <v>66</v>
      </c>
      <c r="HY233" s="25" t="s">
        <v>66</v>
      </c>
      <c r="HZ233" s="25" t="s">
        <v>66</v>
      </c>
      <c r="IA233" s="25" t="s">
        <v>66</v>
      </c>
      <c r="IB233" s="25" t="s">
        <v>66</v>
      </c>
      <c r="IC233" s="25" t="s">
        <v>66</v>
      </c>
      <c r="ID233" s="25" t="s">
        <v>66</v>
      </c>
      <c r="IE233" s="25" t="s">
        <v>66</v>
      </c>
      <c r="IF233" s="25" t="s">
        <v>66</v>
      </c>
      <c r="IG233" s="25" t="s">
        <v>66</v>
      </c>
      <c r="IH233" s="25" t="s">
        <v>66</v>
      </c>
      <c r="II233" s="25" t="s">
        <v>66</v>
      </c>
      <c r="IJ233" s="25" t="s">
        <v>66</v>
      </c>
      <c r="IK233" s="25" t="s">
        <v>66</v>
      </c>
      <c r="IL233" s="25" t="s">
        <v>66</v>
      </c>
      <c r="IM233" s="25" t="s">
        <v>66</v>
      </c>
      <c r="IN233" s="25" t="s">
        <v>66</v>
      </c>
      <c r="IO233" s="25" t="s">
        <v>66</v>
      </c>
      <c r="IP233" s="25" t="s">
        <v>66</v>
      </c>
      <c r="IQ233" s="25" t="s">
        <v>66</v>
      </c>
      <c r="IR233" s="25" t="s">
        <v>66</v>
      </c>
      <c r="IS233" s="25" t="s">
        <v>66</v>
      </c>
      <c r="IT233" s="25" t="s">
        <v>66</v>
      </c>
    </row>
    <row r="234" spans="1:254" s="25" customFormat="1" x14ac:dyDescent="0.2">
      <c r="A234" s="226"/>
      <c r="B234" s="383"/>
      <c r="C234" s="128" t="s">
        <v>434</v>
      </c>
      <c r="D234" s="124"/>
      <c r="E234" s="227" t="s">
        <v>77</v>
      </c>
      <c r="F234" s="305">
        <v>3</v>
      </c>
      <c r="G234" s="191">
        <f>'BASE DE DATO MANO DE OBRA'!G132</f>
        <v>65.03</v>
      </c>
      <c r="H234" s="510">
        <f t="shared" si="19"/>
        <v>195.09</v>
      </c>
      <c r="I234" s="110"/>
      <c r="J234" s="110"/>
      <c r="HP234" s="25" t="s">
        <v>67</v>
      </c>
      <c r="HQ234" s="25" t="s">
        <v>67</v>
      </c>
      <c r="HR234" s="25" t="s">
        <v>67</v>
      </c>
      <c r="HS234" s="25" t="s">
        <v>67</v>
      </c>
      <c r="HT234" s="25" t="s">
        <v>67</v>
      </c>
      <c r="HU234" s="25" t="s">
        <v>67</v>
      </c>
      <c r="HV234" s="25" t="s">
        <v>67</v>
      </c>
      <c r="HW234" s="25" t="s">
        <v>67</v>
      </c>
      <c r="HX234" s="25" t="s">
        <v>67</v>
      </c>
      <c r="HY234" s="25" t="s">
        <v>67</v>
      </c>
      <c r="HZ234" s="25" t="s">
        <v>67</v>
      </c>
      <c r="IA234" s="25" t="s">
        <v>67</v>
      </c>
      <c r="IB234" s="25" t="s">
        <v>67</v>
      </c>
      <c r="IC234" s="25" t="s">
        <v>67</v>
      </c>
      <c r="ID234" s="25" t="s">
        <v>67</v>
      </c>
      <c r="IE234" s="25" t="s">
        <v>67</v>
      </c>
      <c r="IF234" s="25" t="s">
        <v>67</v>
      </c>
      <c r="IG234" s="25" t="s">
        <v>67</v>
      </c>
      <c r="IH234" s="25" t="s">
        <v>67</v>
      </c>
      <c r="II234" s="25" t="s">
        <v>67</v>
      </c>
      <c r="IJ234" s="25" t="s">
        <v>67</v>
      </c>
      <c r="IK234" s="25" t="s">
        <v>67</v>
      </c>
      <c r="IL234" s="25" t="s">
        <v>67</v>
      </c>
      <c r="IM234" s="25" t="s">
        <v>67</v>
      </c>
      <c r="IN234" s="25" t="s">
        <v>67</v>
      </c>
      <c r="IO234" s="25" t="s">
        <v>67</v>
      </c>
      <c r="IP234" s="25" t="s">
        <v>67</v>
      </c>
      <c r="IQ234" s="25" t="s">
        <v>67</v>
      </c>
      <c r="IR234" s="25" t="s">
        <v>67</v>
      </c>
      <c r="IS234" s="25" t="s">
        <v>67</v>
      </c>
      <c r="IT234" s="25" t="s">
        <v>67</v>
      </c>
    </row>
    <row r="235" spans="1:254" x14ac:dyDescent="0.2">
      <c r="A235" s="515"/>
      <c r="B235" s="23"/>
      <c r="C235" s="18" t="s">
        <v>154</v>
      </c>
      <c r="D235" s="24"/>
      <c r="E235" s="227" t="s">
        <v>61</v>
      </c>
      <c r="F235" s="305">
        <v>0</v>
      </c>
      <c r="G235" s="191">
        <f>'BASE DE DATO MANO DE OBRA'!G133</f>
        <v>160.41999999999999</v>
      </c>
      <c r="H235" s="510">
        <f t="shared" si="19"/>
        <v>0</v>
      </c>
      <c r="I235" s="25"/>
    </row>
    <row r="236" spans="1:254" x14ac:dyDescent="0.2">
      <c r="A236" s="515"/>
      <c r="B236" s="23"/>
      <c r="C236" s="18" t="s">
        <v>155</v>
      </c>
      <c r="D236" s="24"/>
      <c r="E236" s="227" t="s">
        <v>61</v>
      </c>
      <c r="F236" s="305">
        <v>1</v>
      </c>
      <c r="G236" s="191">
        <f>'BASE DE DATO MANO DE OBRA'!G134</f>
        <v>161.96</v>
      </c>
      <c r="H236" s="510">
        <f t="shared" si="19"/>
        <v>161.96</v>
      </c>
      <c r="I236" s="25"/>
    </row>
    <row r="237" spans="1:254" x14ac:dyDescent="0.2">
      <c r="A237" s="496"/>
      <c r="B237" s="19"/>
      <c r="C237" s="128" t="s">
        <v>156</v>
      </c>
      <c r="D237" s="124"/>
      <c r="E237" s="227" t="s">
        <v>61</v>
      </c>
      <c r="F237" s="305">
        <v>0</v>
      </c>
      <c r="G237" s="191">
        <f>'BASE DE DATO MANO DE OBRA'!G135</f>
        <v>160.41999999999999</v>
      </c>
      <c r="H237" s="510">
        <f t="shared" si="19"/>
        <v>0</v>
      </c>
    </row>
    <row r="238" spans="1:254" x14ac:dyDescent="0.2">
      <c r="A238" s="496"/>
      <c r="B238" s="19"/>
      <c r="C238" s="128" t="s">
        <v>157</v>
      </c>
      <c r="D238" s="124"/>
      <c r="E238" s="227" t="s">
        <v>61</v>
      </c>
      <c r="F238" s="305">
        <v>0</v>
      </c>
      <c r="G238" s="191">
        <f>'BASE DE DATO MANO DE OBRA'!G136</f>
        <v>161.96</v>
      </c>
      <c r="H238" s="510">
        <f t="shared" si="19"/>
        <v>0</v>
      </c>
    </row>
    <row r="239" spans="1:254" x14ac:dyDescent="0.2">
      <c r="A239" s="496"/>
      <c r="B239" s="19"/>
      <c r="C239" s="128" t="s">
        <v>158</v>
      </c>
      <c r="D239" s="124"/>
      <c r="E239" s="227" t="s">
        <v>61</v>
      </c>
      <c r="F239" s="305">
        <v>0</v>
      </c>
      <c r="G239" s="191">
        <f>'BASE DE DATO MANO DE OBRA'!G137</f>
        <v>171.55</v>
      </c>
      <c r="H239" s="510">
        <f t="shared" si="19"/>
        <v>0</v>
      </c>
    </row>
    <row r="240" spans="1:254" x14ac:dyDescent="0.2">
      <c r="A240" s="496"/>
      <c r="B240" s="19"/>
      <c r="C240" s="128" t="s">
        <v>159</v>
      </c>
      <c r="D240" s="124"/>
      <c r="E240" s="227" t="s">
        <v>61</v>
      </c>
      <c r="F240" s="305">
        <v>0</v>
      </c>
      <c r="G240" s="191">
        <f>'BASE DE DATO MANO DE OBRA'!G138</f>
        <v>177.12</v>
      </c>
      <c r="H240" s="510">
        <f t="shared" si="19"/>
        <v>0</v>
      </c>
    </row>
    <row r="241" spans="1:8" x14ac:dyDescent="0.2">
      <c r="A241" s="496"/>
      <c r="B241" s="19"/>
      <c r="C241" s="128" t="s">
        <v>160</v>
      </c>
      <c r="D241" s="124"/>
      <c r="E241" s="227" t="s">
        <v>61</v>
      </c>
      <c r="F241" s="305">
        <v>0</v>
      </c>
      <c r="G241" s="191">
        <f>'BASE DE DATO MANO DE OBRA'!G139</f>
        <v>185.58</v>
      </c>
      <c r="H241" s="510">
        <f t="shared" si="19"/>
        <v>0</v>
      </c>
    </row>
    <row r="242" spans="1:8" x14ac:dyDescent="0.2">
      <c r="A242" s="496"/>
      <c r="B242" s="19"/>
      <c r="C242" s="128" t="s">
        <v>161</v>
      </c>
      <c r="D242" s="124"/>
      <c r="E242" s="227" t="s">
        <v>61</v>
      </c>
      <c r="F242" s="305">
        <v>0</v>
      </c>
      <c r="G242" s="191">
        <f>'BASE DE DATO MANO DE OBRA'!G140</f>
        <v>175.88</v>
      </c>
      <c r="H242" s="510">
        <f t="shared" si="19"/>
        <v>0</v>
      </c>
    </row>
    <row r="243" spans="1:8" x14ac:dyDescent="0.2">
      <c r="A243" s="496"/>
      <c r="B243" s="19"/>
      <c r="C243" s="128" t="s">
        <v>162</v>
      </c>
      <c r="D243" s="124"/>
      <c r="E243" s="227" t="s">
        <v>61</v>
      </c>
      <c r="F243" s="305"/>
      <c r="G243" s="191">
        <f>'BASE DE DATO MANO DE OBRA'!G141</f>
        <v>170.94</v>
      </c>
      <c r="H243" s="510">
        <f t="shared" si="19"/>
        <v>0</v>
      </c>
    </row>
    <row r="244" spans="1:8" x14ac:dyDescent="0.2">
      <c r="A244" s="496"/>
      <c r="B244" s="19"/>
      <c r="C244" s="128" t="s">
        <v>163</v>
      </c>
      <c r="D244" s="124"/>
      <c r="E244" s="227" t="s">
        <v>61</v>
      </c>
      <c r="F244" s="305">
        <v>0</v>
      </c>
      <c r="G244" s="191">
        <f>'BASE DE DATO MANO DE OBRA'!G142</f>
        <v>160.11000000000001</v>
      </c>
      <c r="H244" s="510">
        <f t="shared" si="19"/>
        <v>0</v>
      </c>
    </row>
    <row r="245" spans="1:8" x14ac:dyDescent="0.2">
      <c r="A245" s="496"/>
      <c r="B245" s="19"/>
      <c r="C245" s="128" t="s">
        <v>756</v>
      </c>
      <c r="D245" s="124"/>
      <c r="E245" s="227" t="s">
        <v>77</v>
      </c>
      <c r="F245" s="305">
        <v>10</v>
      </c>
      <c r="G245" s="191">
        <f>'BASE DE DATO MANO DE OBRA'!G143</f>
        <v>9.48</v>
      </c>
      <c r="H245" s="510">
        <f t="shared" si="19"/>
        <v>94.8</v>
      </c>
    </row>
    <row r="246" spans="1:8" x14ac:dyDescent="0.2">
      <c r="A246" s="496"/>
      <c r="B246" s="19"/>
      <c r="C246" s="128" t="s">
        <v>757</v>
      </c>
      <c r="D246" s="124"/>
      <c r="E246" s="227" t="s">
        <v>77</v>
      </c>
      <c r="F246" s="305">
        <v>6</v>
      </c>
      <c r="G246" s="191">
        <f>'BASE DE DATO MANO DE OBRA'!G144</f>
        <v>10.69</v>
      </c>
      <c r="H246" s="510">
        <f t="shared" si="19"/>
        <v>64.14</v>
      </c>
    </row>
    <row r="247" spans="1:8" x14ac:dyDescent="0.2">
      <c r="A247" s="496"/>
      <c r="B247" s="19"/>
      <c r="C247" s="128" t="s">
        <v>758</v>
      </c>
      <c r="D247" s="124"/>
      <c r="E247" s="227" t="s">
        <v>77</v>
      </c>
      <c r="F247" s="305">
        <v>8</v>
      </c>
      <c r="G247" s="191">
        <f>'BASE DE DATO MANO DE OBRA'!G145</f>
        <v>12.83</v>
      </c>
      <c r="H247" s="510">
        <f t="shared" si="19"/>
        <v>102.64</v>
      </c>
    </row>
    <row r="248" spans="1:8" x14ac:dyDescent="0.2">
      <c r="A248" s="496"/>
      <c r="B248" s="19"/>
      <c r="C248" s="128" t="s">
        <v>759</v>
      </c>
      <c r="D248" s="124"/>
      <c r="E248" s="227" t="s">
        <v>77</v>
      </c>
      <c r="F248" s="305">
        <v>1</v>
      </c>
      <c r="G248" s="191">
        <f>'BASE DE DATO MANO DE OBRA'!G146</f>
        <v>12.22</v>
      </c>
      <c r="H248" s="510">
        <f t="shared" si="19"/>
        <v>12.22</v>
      </c>
    </row>
    <row r="249" spans="1:8" x14ac:dyDescent="0.2">
      <c r="A249" s="496"/>
      <c r="B249" s="19"/>
      <c r="C249" s="128" t="s">
        <v>760</v>
      </c>
      <c r="D249" s="124"/>
      <c r="E249" s="227" t="s">
        <v>77</v>
      </c>
      <c r="F249" s="305">
        <v>0</v>
      </c>
      <c r="G249" s="191">
        <f>'BASE DE DATO MANO DE OBRA'!G147</f>
        <v>12.22</v>
      </c>
      <c r="H249" s="510">
        <f t="shared" si="19"/>
        <v>0</v>
      </c>
    </row>
    <row r="250" spans="1:8" x14ac:dyDescent="0.2">
      <c r="A250" s="496"/>
      <c r="B250" s="19"/>
      <c r="C250" s="128" t="s">
        <v>761</v>
      </c>
      <c r="D250" s="124"/>
      <c r="E250" s="227" t="s">
        <v>77</v>
      </c>
      <c r="F250" s="305">
        <v>0</v>
      </c>
      <c r="G250" s="191">
        <f>'BASE DE DATO MANO DE OBRA'!G148</f>
        <v>21.74</v>
      </c>
      <c r="H250" s="510">
        <f t="shared" si="19"/>
        <v>0</v>
      </c>
    </row>
    <row r="251" spans="1:8" x14ac:dyDescent="0.2">
      <c r="A251" s="496"/>
      <c r="B251" s="19"/>
      <c r="C251" s="128" t="s">
        <v>762</v>
      </c>
      <c r="D251" s="124"/>
      <c r="E251" s="227" t="s">
        <v>77</v>
      </c>
      <c r="F251" s="305">
        <v>0</v>
      </c>
      <c r="G251" s="191">
        <f>'BASE DE DATO MANO DE OBRA'!G149</f>
        <v>26.45</v>
      </c>
      <c r="H251" s="510">
        <f t="shared" si="19"/>
        <v>0</v>
      </c>
    </row>
    <row r="252" spans="1:8" x14ac:dyDescent="0.2">
      <c r="A252" s="496"/>
      <c r="B252" s="19"/>
      <c r="C252" s="128" t="s">
        <v>763</v>
      </c>
      <c r="D252" s="124"/>
      <c r="E252" s="227" t="s">
        <v>77</v>
      </c>
      <c r="F252" s="305">
        <v>0</v>
      </c>
      <c r="G252" s="191">
        <f>'BASE DE DATO MANO DE OBRA'!G150</f>
        <v>24.69</v>
      </c>
      <c r="H252" s="510">
        <f t="shared" si="19"/>
        <v>0</v>
      </c>
    </row>
    <row r="253" spans="1:8" x14ac:dyDescent="0.2">
      <c r="A253" s="496"/>
      <c r="B253" s="19"/>
      <c r="C253" s="128" t="s">
        <v>764</v>
      </c>
      <c r="D253" s="124"/>
      <c r="E253" s="227" t="s">
        <v>77</v>
      </c>
      <c r="F253" s="305">
        <v>0</v>
      </c>
      <c r="G253" s="191">
        <f>'BASE DE DATO MANO DE OBRA'!G151</f>
        <v>24.39</v>
      </c>
      <c r="H253" s="510">
        <f t="shared" si="19"/>
        <v>0</v>
      </c>
    </row>
    <row r="254" spans="1:8" x14ac:dyDescent="0.2">
      <c r="A254" s="496"/>
      <c r="B254" s="19"/>
      <c r="C254" s="128" t="s">
        <v>765</v>
      </c>
      <c r="D254" s="124"/>
      <c r="E254" s="227" t="s">
        <v>77</v>
      </c>
      <c r="F254" s="305">
        <v>0</v>
      </c>
      <c r="G254" s="191">
        <f>'BASE DE DATO MANO DE OBRA'!G152</f>
        <v>30.86</v>
      </c>
      <c r="H254" s="510">
        <f t="shared" si="19"/>
        <v>0</v>
      </c>
    </row>
    <row r="255" spans="1:8" x14ac:dyDescent="0.2">
      <c r="A255" s="496"/>
      <c r="B255" s="19"/>
      <c r="C255" s="128" t="s">
        <v>766</v>
      </c>
      <c r="D255" s="124"/>
      <c r="E255" s="227" t="s">
        <v>77</v>
      </c>
      <c r="F255" s="305">
        <v>0</v>
      </c>
      <c r="G255" s="191">
        <f>'BASE DE DATO MANO DE OBRA'!G153</f>
        <v>25.56</v>
      </c>
      <c r="H255" s="510">
        <f t="shared" si="19"/>
        <v>0</v>
      </c>
    </row>
    <row r="256" spans="1:8" x14ac:dyDescent="0.2">
      <c r="A256" s="496"/>
      <c r="B256" s="19"/>
      <c r="C256" s="128" t="s">
        <v>767</v>
      </c>
      <c r="D256" s="124"/>
      <c r="E256" s="227" t="s">
        <v>77</v>
      </c>
      <c r="F256" s="305">
        <v>0</v>
      </c>
      <c r="G256" s="191">
        <f>'BASE DE DATO MANO DE OBRA'!G154</f>
        <v>36.729999999999997</v>
      </c>
      <c r="H256" s="510">
        <f t="shared" si="19"/>
        <v>0</v>
      </c>
    </row>
    <row r="257" spans="1:9" x14ac:dyDescent="0.2">
      <c r="A257" s="496"/>
      <c r="B257" s="19"/>
      <c r="C257" s="128" t="s">
        <v>768</v>
      </c>
      <c r="D257" s="124"/>
      <c r="E257" s="227" t="s">
        <v>77</v>
      </c>
      <c r="F257" s="305">
        <v>0</v>
      </c>
      <c r="G257" s="191">
        <f>'BASE DE DATO MANO DE OBRA'!G155</f>
        <v>33.79</v>
      </c>
      <c r="H257" s="510">
        <f t="shared" si="19"/>
        <v>0</v>
      </c>
    </row>
    <row r="258" spans="1:9" x14ac:dyDescent="0.2">
      <c r="A258" s="496"/>
      <c r="B258" s="19"/>
      <c r="C258" s="128" t="s">
        <v>769</v>
      </c>
      <c r="D258" s="124"/>
      <c r="E258" s="227" t="s">
        <v>77</v>
      </c>
      <c r="F258" s="305">
        <v>0</v>
      </c>
      <c r="G258" s="191">
        <f>'BASE DE DATO MANO DE OBRA'!G156</f>
        <v>35.26</v>
      </c>
      <c r="H258" s="510">
        <f t="shared" si="19"/>
        <v>0</v>
      </c>
    </row>
    <row r="259" spans="1:9" x14ac:dyDescent="0.2">
      <c r="A259" s="496"/>
      <c r="B259" s="19"/>
      <c r="C259" s="134" t="s">
        <v>770</v>
      </c>
      <c r="D259" s="124"/>
      <c r="E259" s="227" t="s">
        <v>77</v>
      </c>
      <c r="F259" s="305">
        <v>0</v>
      </c>
      <c r="G259" s="191">
        <f>'BASE DE DATO MANO DE OBRA'!G158</f>
        <v>7.18</v>
      </c>
      <c r="H259" s="510">
        <f t="shared" si="19"/>
        <v>0</v>
      </c>
    </row>
    <row r="260" spans="1:9" x14ac:dyDescent="0.2">
      <c r="A260" s="496"/>
      <c r="B260" s="19"/>
      <c r="C260" s="134" t="s">
        <v>771</v>
      </c>
      <c r="D260" s="124"/>
      <c r="E260" s="227" t="s">
        <v>77</v>
      </c>
      <c r="F260" s="305">
        <v>30</v>
      </c>
      <c r="G260" s="191">
        <f>'BASE DE DATO MANO DE OBRA'!G159</f>
        <v>12.52</v>
      </c>
      <c r="H260" s="510">
        <f t="shared" si="19"/>
        <v>375.6</v>
      </c>
    </row>
    <row r="261" spans="1:9" x14ac:dyDescent="0.2">
      <c r="A261" s="496"/>
      <c r="B261" s="19"/>
      <c r="C261" s="134" t="s">
        <v>772</v>
      </c>
      <c r="D261" s="124"/>
      <c r="E261" s="227" t="s">
        <v>77</v>
      </c>
      <c r="F261" s="305"/>
      <c r="G261" s="191">
        <f>'BASE DE DATO MANO DE OBRA'!G160</f>
        <v>17.52</v>
      </c>
      <c r="H261" s="510">
        <f t="shared" si="19"/>
        <v>0</v>
      </c>
    </row>
    <row r="262" spans="1:9" x14ac:dyDescent="0.2">
      <c r="A262" s="496"/>
      <c r="B262" s="19"/>
      <c r="C262" s="134" t="s">
        <v>773</v>
      </c>
      <c r="D262" s="124"/>
      <c r="E262" s="227" t="s">
        <v>77</v>
      </c>
      <c r="F262" s="305"/>
      <c r="G262" s="191">
        <f>'BASE DE DATO MANO DE OBRA'!G161</f>
        <v>22.57</v>
      </c>
      <c r="H262" s="510">
        <f t="shared" si="19"/>
        <v>0</v>
      </c>
    </row>
    <row r="263" spans="1:9" x14ac:dyDescent="0.2">
      <c r="A263" s="496"/>
      <c r="B263" s="19"/>
      <c r="C263" s="134" t="s">
        <v>435</v>
      </c>
      <c r="D263" s="124"/>
      <c r="E263" s="227" t="s">
        <v>77</v>
      </c>
      <c r="F263" s="305">
        <v>0</v>
      </c>
      <c r="G263" s="191">
        <f>'BASE DE DATO MANO DE OBRA'!G162</f>
        <v>1.59</v>
      </c>
      <c r="H263" s="510">
        <f t="shared" si="19"/>
        <v>0</v>
      </c>
    </row>
    <row r="264" spans="1:9" x14ac:dyDescent="0.2">
      <c r="A264" s="496"/>
      <c r="B264" s="19"/>
      <c r="C264" s="134" t="s">
        <v>184</v>
      </c>
      <c r="D264" s="124"/>
      <c r="E264" s="227" t="s">
        <v>77</v>
      </c>
      <c r="F264" s="305">
        <v>10</v>
      </c>
      <c r="G264" s="191">
        <f>'BASE DE DATO MANO DE OBRA'!G163</f>
        <v>17.829999999999998</v>
      </c>
      <c r="H264" s="510">
        <f t="shared" si="19"/>
        <v>178.3</v>
      </c>
    </row>
    <row r="265" spans="1:9" x14ac:dyDescent="0.2">
      <c r="A265" s="496"/>
      <c r="B265" s="19"/>
      <c r="C265" s="134" t="s">
        <v>185</v>
      </c>
      <c r="D265" s="124"/>
      <c r="E265" s="227" t="s">
        <v>77</v>
      </c>
      <c r="F265" s="305">
        <v>3</v>
      </c>
      <c r="G265" s="191">
        <f>'BASE DE DATO MANO DE OBRA'!G164</f>
        <v>19.29</v>
      </c>
      <c r="H265" s="510">
        <f t="shared" si="19"/>
        <v>57.87</v>
      </c>
    </row>
    <row r="266" spans="1:9" x14ac:dyDescent="0.2">
      <c r="A266" s="496"/>
      <c r="B266" s="19"/>
      <c r="C266" s="134" t="s">
        <v>186</v>
      </c>
      <c r="D266" s="124"/>
      <c r="E266" s="227" t="s">
        <v>77</v>
      </c>
      <c r="F266" s="305">
        <v>1</v>
      </c>
      <c r="G266" s="191">
        <f>'BASE DE DATO MANO DE OBRA'!G165</f>
        <v>7.71</v>
      </c>
      <c r="H266" s="510">
        <f t="shared" si="19"/>
        <v>7.71</v>
      </c>
    </row>
    <row r="267" spans="1:9" ht="12.75" customHeight="1" x14ac:dyDescent="0.2">
      <c r="A267" s="496"/>
      <c r="B267" s="19"/>
      <c r="C267" s="134" t="s">
        <v>187</v>
      </c>
      <c r="D267" s="124"/>
      <c r="E267" s="227" t="s">
        <v>77</v>
      </c>
      <c r="F267" s="305">
        <v>1</v>
      </c>
      <c r="G267" s="191">
        <f>'BASE DE DATO MANO DE OBRA'!G166</f>
        <v>10</v>
      </c>
      <c r="H267" s="510">
        <f t="shared" si="19"/>
        <v>10</v>
      </c>
    </row>
    <row r="268" spans="1:9" ht="12.75" customHeight="1" x14ac:dyDescent="0.2">
      <c r="A268" s="516"/>
      <c r="B268" s="215"/>
      <c r="C268" s="215"/>
      <c r="D268" s="215"/>
      <c r="E268" s="215"/>
      <c r="F268" s="215"/>
      <c r="G268" s="215"/>
      <c r="H268" s="517"/>
    </row>
    <row r="269" spans="1:9" ht="12.75" customHeight="1" x14ac:dyDescent="0.2">
      <c r="A269" s="688" t="s">
        <v>1029</v>
      </c>
      <c r="B269" s="689"/>
      <c r="C269" s="689"/>
      <c r="D269" s="689"/>
      <c r="E269" s="689"/>
      <c r="F269" s="689"/>
      <c r="G269" s="689"/>
      <c r="H269" s="595">
        <f>SUM(H151:H267)</f>
        <v>30917.8</v>
      </c>
      <c r="I269" s="110">
        <f>H269*1.12</f>
        <v>34627.936000000002</v>
      </c>
    </row>
    <row r="270" spans="1:9" ht="12.75" customHeight="1" x14ac:dyDescent="0.2">
      <c r="A270" s="690" t="s">
        <v>453</v>
      </c>
      <c r="B270" s="691"/>
      <c r="C270" s="691"/>
      <c r="D270" s="691"/>
      <c r="E270" s="691"/>
      <c r="F270" s="691"/>
      <c r="G270" s="692"/>
      <c r="H270" s="501">
        <f>ROUND(((H269)*0.07),2)</f>
        <v>2164.25</v>
      </c>
      <c r="I270" s="110">
        <f t="shared" ref="I270:I271" si="20">H270*1.12</f>
        <v>2423.96</v>
      </c>
    </row>
    <row r="271" spans="1:9" ht="24.75" customHeight="1" x14ac:dyDescent="0.2">
      <c r="A271" s="690" t="s">
        <v>454</v>
      </c>
      <c r="B271" s="691"/>
      <c r="C271" s="691"/>
      <c r="D271" s="691"/>
      <c r="E271" s="691"/>
      <c r="F271" s="691"/>
      <c r="G271" s="691"/>
      <c r="H271" s="501">
        <f>ROUND(((H269)*0.05),2)</f>
        <v>1545.89</v>
      </c>
      <c r="I271" s="110">
        <f t="shared" si="20"/>
        <v>1731.3968000000002</v>
      </c>
    </row>
    <row r="272" spans="1:9" ht="24.75" customHeight="1" thickBot="1" x14ac:dyDescent="0.25">
      <c r="A272" s="690" t="s">
        <v>1140</v>
      </c>
      <c r="B272" s="691"/>
      <c r="C272" s="691"/>
      <c r="D272" s="691"/>
      <c r="E272" s="691"/>
      <c r="F272" s="691"/>
      <c r="G272" s="691"/>
      <c r="H272" s="502">
        <f>ROUND((SUM(H269+H270+H271)*0.12),2)</f>
        <v>4155.3500000000004</v>
      </c>
    </row>
    <row r="273" spans="1:11" ht="39" customHeight="1" thickBot="1" x14ac:dyDescent="0.35">
      <c r="A273" s="728" t="s">
        <v>735</v>
      </c>
      <c r="B273" s="729"/>
      <c r="C273" s="729"/>
      <c r="D273" s="729"/>
      <c r="E273" s="729"/>
      <c r="F273" s="730"/>
      <c r="G273" s="720">
        <f>SUM(H269:H272)</f>
        <v>38783.29</v>
      </c>
      <c r="H273" s="721"/>
      <c r="I273" s="110">
        <f>I269+I270+I271</f>
        <v>38783.292800000003</v>
      </c>
    </row>
    <row r="274" spans="1:11" ht="18.75" x14ac:dyDescent="0.3">
      <c r="A274" s="518"/>
      <c r="B274" s="286"/>
      <c r="C274" s="286"/>
      <c r="D274" s="286"/>
      <c r="E274" s="286"/>
      <c r="F274" s="286"/>
      <c r="G274" s="224"/>
      <c r="H274" s="504"/>
    </row>
    <row r="275" spans="1:11" ht="12" customHeight="1" x14ac:dyDescent="0.2">
      <c r="A275" s="684" t="s">
        <v>52</v>
      </c>
      <c r="B275" s="685"/>
      <c r="C275" s="685"/>
      <c r="D275" s="685"/>
      <c r="E275" s="120" t="s">
        <v>53</v>
      </c>
      <c r="F275" s="121" t="s">
        <v>54</v>
      </c>
      <c r="G275" s="120" t="s">
        <v>728</v>
      </c>
      <c r="H275" s="505" t="s">
        <v>729</v>
      </c>
    </row>
    <row r="276" spans="1:11" ht="12" customHeight="1" thickBot="1" x14ac:dyDescent="0.25">
      <c r="A276" s="519" t="s">
        <v>834</v>
      </c>
      <c r="B276" s="287" t="s">
        <v>835</v>
      </c>
      <c r="C276" s="216"/>
      <c r="D276" s="288"/>
      <c r="E276" s="289"/>
      <c r="F276" s="290"/>
      <c r="G276" s="291"/>
      <c r="H276" s="520"/>
    </row>
    <row r="277" spans="1:11" ht="12" customHeight="1" thickBot="1" x14ac:dyDescent="0.25">
      <c r="A277" s="521"/>
      <c r="B277" s="298" t="s">
        <v>741</v>
      </c>
      <c r="C277" s="133" t="s">
        <v>145</v>
      </c>
      <c r="D277" s="124"/>
      <c r="E277" s="253" t="s">
        <v>77</v>
      </c>
      <c r="F277" s="476">
        <f>F20+F22+F24+F25+F23</f>
        <v>59</v>
      </c>
      <c r="G277" s="292">
        <f>'BASE DE DATO MANO DE OBRA'!G120</f>
        <v>26.91</v>
      </c>
      <c r="H277" s="510">
        <f>ROUND((F277*G277),2)</f>
        <v>1587.69</v>
      </c>
      <c r="I277" s="487"/>
    </row>
    <row r="278" spans="1:11" ht="12" customHeight="1" thickBot="1" x14ac:dyDescent="0.25">
      <c r="A278" s="521"/>
      <c r="B278" s="298" t="s">
        <v>74</v>
      </c>
      <c r="C278" s="457" t="s">
        <v>1013</v>
      </c>
      <c r="D278" s="250"/>
      <c r="E278" s="253" t="s">
        <v>77</v>
      </c>
      <c r="F278" s="254">
        <f>F29+F27</f>
        <v>6</v>
      </c>
      <c r="G278" s="292">
        <f>'BASE DE DATO MANO DE OBRA'!G121</f>
        <v>21.53</v>
      </c>
      <c r="H278" s="510">
        <f>ROUND((F278*G278),2)</f>
        <v>129.18</v>
      </c>
      <c r="I278" s="487"/>
    </row>
    <row r="279" spans="1:11" ht="12" customHeight="1" thickBot="1" x14ac:dyDescent="0.25">
      <c r="A279" s="521"/>
      <c r="B279" s="298"/>
      <c r="C279" s="6" t="s">
        <v>844</v>
      </c>
      <c r="D279" s="133"/>
      <c r="E279" s="253" t="s">
        <v>836</v>
      </c>
      <c r="F279" s="254">
        <f>'PESO DE MATERIALES'!I41</f>
        <v>11.28</v>
      </c>
      <c r="G279" s="302"/>
      <c r="H279" s="522"/>
    </row>
    <row r="280" spans="1:11" ht="12.75" customHeight="1" thickBot="1" x14ac:dyDescent="0.25">
      <c r="A280" s="521"/>
      <c r="B280" s="298" t="s">
        <v>82</v>
      </c>
      <c r="C280" s="133" t="s">
        <v>843</v>
      </c>
      <c r="D280" s="293"/>
      <c r="E280" s="253" t="s">
        <v>845</v>
      </c>
      <c r="F280" s="254">
        <f>'PESO DE MATERIALES'!I41*H7</f>
        <v>11.28</v>
      </c>
      <c r="G280" s="292">
        <f>'PESO DE MATERIALES'!I10</f>
        <v>1.29</v>
      </c>
      <c r="H280" s="510">
        <f>ROUND((F280*G280),2)</f>
        <v>14.55</v>
      </c>
      <c r="I280" s="487"/>
    </row>
    <row r="281" spans="1:11" ht="12.75" customHeight="1" thickBot="1" x14ac:dyDescent="0.25">
      <c r="A281" s="521"/>
      <c r="B281" s="298" t="s">
        <v>109</v>
      </c>
      <c r="C281" s="133" t="s">
        <v>988</v>
      </c>
      <c r="D281" s="293"/>
      <c r="E281" s="253" t="s">
        <v>987</v>
      </c>
      <c r="F281" s="254">
        <v>1</v>
      </c>
      <c r="G281" s="292">
        <f>ROUND((IF(H6/600&gt;0.3,G273*0.3,IF(H6/600&lt;=0.3,G273*H6/600))),2)</f>
        <v>3878.33</v>
      </c>
      <c r="H281" s="510">
        <f>ROUND((F281*G281),2)</f>
        <v>3878.33</v>
      </c>
      <c r="I281" s="487"/>
    </row>
    <row r="282" spans="1:11" ht="12.75" customHeight="1" thickBot="1" x14ac:dyDescent="0.25">
      <c r="A282" s="521"/>
      <c r="B282" s="298" t="s">
        <v>116</v>
      </c>
      <c r="C282" s="133" t="s">
        <v>1097</v>
      </c>
      <c r="D282" s="293"/>
      <c r="E282" s="253" t="s">
        <v>1098</v>
      </c>
      <c r="F282" s="254">
        <v>1</v>
      </c>
      <c r="G282" s="292">
        <f>ROUND((IF(H7/200&gt;0.3,G273*0.3,IF(H7/200&lt;=0.3,G273*H7/200))),2)</f>
        <v>193.92</v>
      </c>
      <c r="H282" s="510">
        <f>ROUND((F282*G282),2)</f>
        <v>193.92</v>
      </c>
      <c r="I282" s="487"/>
    </row>
    <row r="283" spans="1:11" ht="12.75" customHeight="1" x14ac:dyDescent="0.2">
      <c r="A283" s="516"/>
      <c r="B283" s="215"/>
      <c r="C283" s="215"/>
      <c r="D283" s="215"/>
      <c r="E283" s="215"/>
      <c r="F283" s="215"/>
      <c r="G283" s="215"/>
      <c r="H283" s="517"/>
    </row>
    <row r="284" spans="1:11" ht="12.75" customHeight="1" x14ac:dyDescent="0.2">
      <c r="A284" s="690" t="s">
        <v>837</v>
      </c>
      <c r="B284" s="691"/>
      <c r="C284" s="691"/>
      <c r="D284" s="691"/>
      <c r="E284" s="691"/>
      <c r="F284" s="691"/>
      <c r="G284" s="691"/>
      <c r="H284" s="595">
        <f>SUM(H277:H283)</f>
        <v>5803.67</v>
      </c>
      <c r="I284" s="110">
        <f>H284</f>
        <v>5803.67</v>
      </c>
      <c r="K284" s="110">
        <f>H284+H269+H142</f>
        <v>243586.17000000007</v>
      </c>
    </row>
    <row r="285" spans="1:11" ht="24.75" customHeight="1" x14ac:dyDescent="0.2">
      <c r="A285" s="690" t="s">
        <v>453</v>
      </c>
      <c r="B285" s="691"/>
      <c r="C285" s="691"/>
      <c r="D285" s="691"/>
      <c r="E285" s="691"/>
      <c r="F285" s="691"/>
      <c r="G285" s="691"/>
      <c r="H285" s="501">
        <f>ROUND(((H284)*0.07),2)</f>
        <v>406.26</v>
      </c>
      <c r="I285" s="110">
        <f t="shared" ref="I285:I287" si="21">H285*1.12</f>
        <v>455.01120000000003</v>
      </c>
    </row>
    <row r="286" spans="1:11" ht="12" customHeight="1" x14ac:dyDescent="0.2">
      <c r="A286" s="690" t="s">
        <v>454</v>
      </c>
      <c r="B286" s="691"/>
      <c r="C286" s="691"/>
      <c r="D286" s="691"/>
      <c r="E286" s="691"/>
      <c r="F286" s="691"/>
      <c r="G286" s="691"/>
      <c r="H286" s="501">
        <f>ROUND(((H284)*0.05),2)</f>
        <v>290.18</v>
      </c>
      <c r="I286" s="110">
        <f t="shared" si="21"/>
        <v>325.00160000000005</v>
      </c>
    </row>
    <row r="287" spans="1:11" ht="12" customHeight="1" thickBot="1" x14ac:dyDescent="0.25">
      <c r="A287" s="690" t="s">
        <v>1141</v>
      </c>
      <c r="B287" s="691"/>
      <c r="C287" s="691"/>
      <c r="D287" s="691"/>
      <c r="E287" s="691"/>
      <c r="F287" s="691"/>
      <c r="G287" s="691"/>
      <c r="H287" s="501">
        <f>(H285+H286)*0.12</f>
        <v>83.572800000000001</v>
      </c>
      <c r="I287" s="110">
        <f t="shared" si="21"/>
        <v>93.60153600000001</v>
      </c>
    </row>
    <row r="288" spans="1:11" ht="19.5" thickBot="1" x14ac:dyDescent="0.35">
      <c r="A288" s="728" t="s">
        <v>968</v>
      </c>
      <c r="B288" s="729"/>
      <c r="C288" s="729"/>
      <c r="D288" s="729"/>
      <c r="E288" s="729"/>
      <c r="F288" s="730"/>
      <c r="G288" s="720">
        <f>SUM(H284:H287)</f>
        <v>6583.6828000000005</v>
      </c>
      <c r="H288" s="721"/>
      <c r="I288" s="110">
        <f>I284+I285+I286</f>
        <v>6583.6828000000005</v>
      </c>
    </row>
    <row r="289" spans="1:12" ht="19.5" thickBot="1" x14ac:dyDescent="0.25">
      <c r="A289" s="503"/>
      <c r="B289" s="222"/>
      <c r="C289" s="222"/>
      <c r="D289" s="221"/>
      <c r="E289" s="221"/>
      <c r="F289" s="221"/>
      <c r="G289" s="222"/>
      <c r="H289" s="523"/>
    </row>
    <row r="290" spans="1:12" ht="84" customHeight="1" thickBot="1" x14ac:dyDescent="0.25">
      <c r="A290" s="94"/>
      <c r="B290" s="6"/>
      <c r="C290" s="6"/>
      <c r="D290" s="435" t="s">
        <v>1135</v>
      </c>
      <c r="E290" s="436">
        <f>'CARATULA-DATOS'!E4</f>
        <v>0</v>
      </c>
      <c r="F290" s="739" t="str">
        <f>'CARATULA-DATOS'!B5</f>
        <v>REPOTENCIACIÓN Y MODERNIZACIÓN DE LAS REDES DE DISTRIBUCIÓN PRIMARIA Y SECUNDARIA DE LA CIUDADELA SANTA FE, DEL CANTÓN CHONE, CON EL REMPLAZO DE REDES AÉREAS DENUDAS DE BAJO VOLTAJE, POR REDES PREENSAMBLADAS.</v>
      </c>
      <c r="G290" s="740"/>
      <c r="H290" s="741"/>
    </row>
    <row r="291" spans="1:12" ht="16.5" thickBot="1" x14ac:dyDescent="0.3">
      <c r="A291" s="94"/>
      <c r="B291" s="6"/>
      <c r="C291" s="6"/>
      <c r="D291" s="746" t="s">
        <v>375</v>
      </c>
      <c r="E291" s="747"/>
      <c r="F291" s="748"/>
      <c r="G291" s="744">
        <f>H142+H143+H144+H269+H270+H271+H284+H285+H286</f>
        <v>272816.52000000008</v>
      </c>
      <c r="H291" s="745"/>
    </row>
    <row r="292" spans="1:12" ht="30" customHeight="1" thickBot="1" x14ac:dyDescent="0.4">
      <c r="A292" s="94"/>
      <c r="B292" s="6"/>
      <c r="C292" s="6"/>
      <c r="D292" s="751" t="s">
        <v>376</v>
      </c>
      <c r="E292" s="752"/>
      <c r="F292" s="752"/>
      <c r="G292" s="749">
        <f>G146+G273+G288</f>
        <v>304858.06280000007</v>
      </c>
      <c r="H292" s="750"/>
      <c r="K292" s="110">
        <f>L230+G292</f>
        <v>320083.9028000001</v>
      </c>
    </row>
    <row r="293" spans="1:12" x14ac:dyDescent="0.2">
      <c r="A293" s="524"/>
      <c r="G293" s="3"/>
      <c r="H293" s="485"/>
    </row>
    <row r="294" spans="1:12" ht="30" customHeight="1" x14ac:dyDescent="0.2">
      <c r="A294" s="524"/>
      <c r="E294" s="756" t="s">
        <v>204</v>
      </c>
      <c r="F294" s="756"/>
      <c r="G294" s="757">
        <f>'CARATULA-DATOS'!E23</f>
        <v>339</v>
      </c>
      <c r="H294" s="758"/>
      <c r="K294" s="110">
        <v>297921.67</v>
      </c>
      <c r="L294" s="110">
        <f>G292-K294</f>
        <v>6936.3928000000888</v>
      </c>
    </row>
    <row r="295" spans="1:12" ht="13.5" thickBot="1" x14ac:dyDescent="0.25">
      <c r="A295" s="94"/>
      <c r="B295" s="6"/>
      <c r="C295" s="6"/>
      <c r="H295" s="489"/>
    </row>
    <row r="296" spans="1:12" ht="30" customHeight="1" thickBot="1" x14ac:dyDescent="0.25">
      <c r="A296" s="94"/>
      <c r="B296" s="6"/>
      <c r="C296" s="6"/>
      <c r="D296" s="478" t="s">
        <v>202</v>
      </c>
      <c r="E296" s="140"/>
      <c r="F296" s="742" t="s">
        <v>203</v>
      </c>
      <c r="G296" s="742"/>
      <c r="H296" s="743"/>
    </row>
    <row r="297" spans="1:12" ht="13.5" thickBot="1" x14ac:dyDescent="0.25">
      <c r="A297" s="94"/>
      <c r="B297" s="6"/>
      <c r="C297" s="6"/>
      <c r="H297" s="489"/>
    </row>
    <row r="298" spans="1:12" ht="58.5" customHeight="1" thickBot="1" x14ac:dyDescent="0.25">
      <c r="A298" s="94"/>
      <c r="B298" s="6"/>
      <c r="C298" s="6"/>
      <c r="D298" s="141" t="str">
        <f>IF('CARATULA-DATOS'!B11="Rural",IF('CARATULA-DATOS'!B12="Nuevo",IF(F298&lt;=2400,"CALIFICA","NO CALIFICA"),IF(F298&lt;=800,"CALIFICA","NO CALIFICA")),IF('CARATULA-DATOS'!B12="Nuevo",IF(F298&lt;=800,"CALIFICA","NO CALIFICA"),IF(F298&lt;=700,"CALIFICA","NO CALIFICA")))</f>
        <v>NO CALIFICA</v>
      </c>
      <c r="E298" s="142"/>
      <c r="F298" s="737">
        <f>G292/G294</f>
        <v>899.286320943953</v>
      </c>
      <c r="G298" s="737"/>
      <c r="H298" s="738"/>
    </row>
    <row r="299" spans="1:12" ht="13.5" thickBot="1" x14ac:dyDescent="0.25">
      <c r="A299" s="94"/>
      <c r="B299" s="6"/>
      <c r="C299" s="6"/>
      <c r="H299" s="489"/>
    </row>
    <row r="300" spans="1:12" ht="16.5" thickBot="1" x14ac:dyDescent="0.25">
      <c r="A300" s="753" t="s">
        <v>205</v>
      </c>
      <c r="B300" s="754"/>
      <c r="C300" s="754"/>
      <c r="D300" s="754"/>
      <c r="E300" s="754"/>
      <c r="F300" s="754"/>
      <c r="G300" s="754"/>
      <c r="H300" s="755"/>
      <c r="J300" s="110" t="s">
        <v>384</v>
      </c>
    </row>
    <row r="301" spans="1:12" x14ac:dyDescent="0.2">
      <c r="A301" s="94"/>
      <c r="B301" s="6"/>
      <c r="C301" s="6"/>
      <c r="H301" s="489"/>
      <c r="J301" s="110" t="s">
        <v>383</v>
      </c>
    </row>
    <row r="302" spans="1:12" x14ac:dyDescent="0.2">
      <c r="A302" s="93" t="s">
        <v>206</v>
      </c>
      <c r="B302" s="6"/>
      <c r="C302" s="6"/>
      <c r="D302" s="6" t="s">
        <v>787</v>
      </c>
      <c r="E302" s="451" t="s">
        <v>1131</v>
      </c>
      <c r="H302" s="489"/>
      <c r="J302" s="110" t="s">
        <v>382</v>
      </c>
    </row>
    <row r="303" spans="1:12" x14ac:dyDescent="0.2">
      <c r="A303" s="93" t="s">
        <v>207</v>
      </c>
      <c r="B303" s="6"/>
      <c r="C303" s="6"/>
      <c r="D303" s="6" t="s">
        <v>1142</v>
      </c>
      <c r="E303" s="451" t="s">
        <v>1132</v>
      </c>
      <c r="H303" s="489"/>
      <c r="J303" s="110" t="s">
        <v>787</v>
      </c>
    </row>
    <row r="304" spans="1:12" ht="13.5" thickBot="1" x14ac:dyDescent="0.25">
      <c r="A304" s="525" t="s">
        <v>208</v>
      </c>
      <c r="B304" s="108"/>
      <c r="C304" s="108"/>
      <c r="D304" s="108" t="s">
        <v>1130</v>
      </c>
      <c r="E304" s="526" t="s">
        <v>1133</v>
      </c>
      <c r="F304" s="527"/>
      <c r="G304" s="108"/>
      <c r="H304" s="528"/>
      <c r="J304" s="110" t="s">
        <v>788</v>
      </c>
    </row>
    <row r="305" spans="1:10" x14ac:dyDescent="0.2">
      <c r="A305" s="7"/>
      <c r="B305" s="6"/>
      <c r="C305" s="6"/>
      <c r="H305" s="137"/>
      <c r="J305" s="110" t="s">
        <v>1129</v>
      </c>
    </row>
    <row r="306" spans="1:10" x14ac:dyDescent="0.2">
      <c r="A306" s="7"/>
      <c r="B306" s="6"/>
      <c r="C306" s="6"/>
      <c r="H306" s="137"/>
      <c r="J306" s="131"/>
    </row>
    <row r="307" spans="1:10" ht="13.5" thickBot="1" x14ac:dyDescent="0.25">
      <c r="A307" s="143"/>
      <c r="B307" s="144"/>
      <c r="C307" s="144"/>
      <c r="D307" s="144"/>
      <c r="E307" s="145"/>
      <c r="F307" s="146"/>
      <c r="G307" s="144"/>
      <c r="H307" s="144"/>
      <c r="J307" s="131"/>
    </row>
    <row r="308" spans="1:10" x14ac:dyDescent="0.2">
      <c r="A308" s="110"/>
      <c r="B308" s="110"/>
      <c r="C308" s="110"/>
      <c r="F308" s="147"/>
      <c r="H308" s="6"/>
      <c r="I308" s="131"/>
    </row>
    <row r="309" spans="1:10" x14ac:dyDescent="0.2">
      <c r="A309" s="110"/>
      <c r="B309" s="110"/>
      <c r="C309" s="110"/>
      <c r="F309" s="147"/>
      <c r="H309" s="6"/>
      <c r="I309" s="131"/>
    </row>
  </sheetData>
  <customSheetViews>
    <customSheetView guid="{78BD55B1-68EB-420C-90D4-21A42E09A787}" scale="85" showPageBreaks="1" printArea="1" hiddenColumns="1" view="pageBreakPreview">
      <pane ySplit="9" topLeftCell="A176" activePane="bottomLeft" state="frozen"/>
      <selection pane="bottomLeft" activeCell="F186" sqref="F186"/>
      <colBreaks count="1" manualBreakCount="1">
        <brk id="8" max="280" man="1"/>
      </colBreaks>
      <pageMargins left="0.51181102362204722" right="0.51181102362204722" top="0.39370078740157483" bottom="0.55118110236220474" header="0.51181102362204722" footer="0.51181102362204722"/>
      <printOptions horizontalCentered="1"/>
      <pageSetup paperSize="9" scale="56" firstPageNumber="0" fitToHeight="3" orientation="portrait" horizontalDpi="300" verticalDpi="300" r:id="rId1"/>
      <headerFooter alignWithMargins="0"/>
    </customSheetView>
    <customSheetView guid="{61D25FAA-9885-4686-B739-70FDA39A07A1}" scale="85" showPageBreaks="1" printArea="1" hiddenColumns="1" view="pageBreakPreview">
      <pane ySplit="9" topLeftCell="A154" activePane="bottomLeft" state="frozen"/>
      <selection pane="bottomLeft" activeCell="D166" sqref="D166"/>
      <colBreaks count="1" manualBreakCount="1">
        <brk id="8" max="280" man="1"/>
      </colBreaks>
      <pageMargins left="0.51181102362204722" right="0.51181102362204722" top="0.39370078740157483" bottom="0.55118110236220474" header="0.51181102362204722" footer="0.51181102362204722"/>
      <printOptions horizontalCentered="1"/>
      <pageSetup paperSize="9" scale="56" firstPageNumber="0" fitToHeight="3" orientation="portrait" horizontalDpi="300" verticalDpi="300" r:id="rId2"/>
      <headerFooter alignWithMargins="0"/>
    </customSheetView>
  </customSheetViews>
  <mergeCells count="71">
    <mergeCell ref="A300:H300"/>
    <mergeCell ref="E294:F294"/>
    <mergeCell ref="G294:H294"/>
    <mergeCell ref="A273:F273"/>
    <mergeCell ref="G273:H273"/>
    <mergeCell ref="A287:G287"/>
    <mergeCell ref="A272:G272"/>
    <mergeCell ref="F298:H298"/>
    <mergeCell ref="F290:H290"/>
    <mergeCell ref="F296:H296"/>
    <mergeCell ref="G291:H291"/>
    <mergeCell ref="D291:F291"/>
    <mergeCell ref="G292:H292"/>
    <mergeCell ref="D292:F292"/>
    <mergeCell ref="A275:D275"/>
    <mergeCell ref="A288:F288"/>
    <mergeCell ref="G288:H288"/>
    <mergeCell ref="A284:G284"/>
    <mergeCell ref="A285:G285"/>
    <mergeCell ref="A286:G286"/>
    <mergeCell ref="C61:D61"/>
    <mergeCell ref="C55:D55"/>
    <mergeCell ref="C49:D49"/>
    <mergeCell ref="C41:D41"/>
    <mergeCell ref="A4:C4"/>
    <mergeCell ref="A5:C5"/>
    <mergeCell ref="A6:C6"/>
    <mergeCell ref="A7:C7"/>
    <mergeCell ref="A9:D9"/>
    <mergeCell ref="C18:D18"/>
    <mergeCell ref="A1:D1"/>
    <mergeCell ref="A2:D2"/>
    <mergeCell ref="E1:H5"/>
    <mergeCell ref="G146:H146"/>
    <mergeCell ref="C33:D33"/>
    <mergeCell ref="C45:D45"/>
    <mergeCell ref="C58:D58"/>
    <mergeCell ref="A142:G142"/>
    <mergeCell ref="A143:G143"/>
    <mergeCell ref="A144:G144"/>
    <mergeCell ref="A145:G145"/>
    <mergeCell ref="A146:F146"/>
    <mergeCell ref="C106:D106"/>
    <mergeCell ref="C102:D102"/>
    <mergeCell ref="C78:D78"/>
    <mergeCell ref="C70:D70"/>
    <mergeCell ref="A271:G271"/>
    <mergeCell ref="C182:D182"/>
    <mergeCell ref="C189:D189"/>
    <mergeCell ref="C192:D192"/>
    <mergeCell ref="C195:D195"/>
    <mergeCell ref="C191:D191"/>
    <mergeCell ref="C198:D198"/>
    <mergeCell ref="C197:D197"/>
    <mergeCell ref="C229:D229"/>
    <mergeCell ref="C72:D72"/>
    <mergeCell ref="A148:D148"/>
    <mergeCell ref="C141:D141"/>
    <mergeCell ref="A269:G269"/>
    <mergeCell ref="A270:G270"/>
    <mergeCell ref="C128:D128"/>
    <mergeCell ref="C129:D129"/>
    <mergeCell ref="C130:D130"/>
    <mergeCell ref="C131:D131"/>
    <mergeCell ref="C132:D132"/>
    <mergeCell ref="C135:D135"/>
    <mergeCell ref="C136:D136"/>
    <mergeCell ref="C137:D137"/>
    <mergeCell ref="C133:D133"/>
    <mergeCell ref="C134:D134"/>
    <mergeCell ref="C228:D228"/>
  </mergeCells>
  <dataValidations disablePrompts="1" count="1">
    <dataValidation type="list" allowBlank="1" showInputMessage="1" showErrorMessage="1" sqref="D302">
      <formula1>$J$300:$J$305</formula1>
    </dataValidation>
  </dataValidations>
  <printOptions horizontalCentered="1"/>
  <pageMargins left="0.51181102362204722" right="0.51181102362204722" top="0.39370078740157483" bottom="0.55118110236220474" header="0.51181102362204722" footer="0.51181102362204722"/>
  <pageSetup paperSize="9" scale="56" firstPageNumber="0" fitToHeight="3" orientation="portrait" horizontalDpi="300" verticalDpi="300" r:id="rId3"/>
  <headerFooter alignWithMargins="0"/>
  <colBreaks count="1" manualBreakCount="1">
    <brk id="8" max="281" man="1"/>
  </col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26"/>
  <sheetViews>
    <sheetView tabSelected="1" view="pageBreakPreview" zoomScale="85" zoomScaleNormal="85" zoomScaleSheetLayoutView="85" workbookViewId="0">
      <pane ySplit="2" topLeftCell="A114" activePane="bottomLeft" state="frozen"/>
      <selection pane="bottomLeft" activeCell="C125" sqref="C125"/>
    </sheetView>
  </sheetViews>
  <sheetFormatPr baseColWidth="10" defaultColWidth="11.42578125" defaultRowHeight="12.75" x14ac:dyDescent="0.2"/>
  <cols>
    <col min="1" max="1" width="9" style="138" customWidth="1"/>
    <col min="2" max="2" width="65.140625" style="139" customWidth="1"/>
    <col min="3" max="3" width="14.85546875" style="112" customWidth="1"/>
    <col min="4" max="4" width="15.7109375" style="135" customWidth="1"/>
    <col min="5" max="5" width="15" style="6" customWidth="1"/>
    <col min="6" max="6" width="23.5703125" style="131" customWidth="1"/>
    <col min="7" max="7" width="13.140625" style="110" hidden="1" customWidth="1"/>
    <col min="8" max="8" width="9.140625" style="110" hidden="1" customWidth="1"/>
    <col min="9" max="13" width="11.42578125" style="110" hidden="1" customWidth="1"/>
    <col min="14" max="18" width="11.42578125" style="110" customWidth="1"/>
    <col min="19" max="16384" width="11.42578125" style="110"/>
  </cols>
  <sheetData>
    <row r="1" spans="1:10" ht="44.25" customHeight="1" x14ac:dyDescent="0.2">
      <c r="A1" s="759" t="s">
        <v>1296</v>
      </c>
      <c r="B1" s="759"/>
      <c r="C1" s="759"/>
      <c r="D1" s="759"/>
      <c r="E1" s="759"/>
      <c r="F1" s="760"/>
    </row>
    <row r="2" spans="1:10" ht="26.25" customHeight="1" thickBot="1" x14ac:dyDescent="0.25">
      <c r="A2" s="685"/>
      <c r="B2" s="685"/>
      <c r="C2" s="251" t="s">
        <v>53</v>
      </c>
      <c r="D2" s="252" t="s">
        <v>54</v>
      </c>
      <c r="E2" s="251" t="s">
        <v>55</v>
      </c>
      <c r="F2" s="492" t="s">
        <v>57</v>
      </c>
      <c r="J2" s="110">
        <f>'MODELO DE PRESUPUESTO (2)'!D5</f>
        <v>26</v>
      </c>
    </row>
    <row r="3" spans="1:10" ht="13.5" thickBot="1" x14ac:dyDescent="0.25">
      <c r="A3" s="634" t="s">
        <v>741</v>
      </c>
      <c r="B3" s="616" t="str">
        <f>'BASE DATOS MATERIALES'!A28</f>
        <v>CONDUCTOR DE ALUMINIO DESNUDO CABLEADO ACSR # 2 AWG</v>
      </c>
      <c r="C3" s="253" t="s">
        <v>1190</v>
      </c>
      <c r="D3" s="637">
        <v>1.32</v>
      </c>
      <c r="E3" s="255">
        <v>720</v>
      </c>
      <c r="F3" s="495">
        <f>ROUND((D3*E3),2)</f>
        <v>950.4</v>
      </c>
      <c r="G3" s="486">
        <v>1.296</v>
      </c>
    </row>
    <row r="4" spans="1:10" ht="13.5" thickBot="1" x14ac:dyDescent="0.25">
      <c r="A4" s="614" t="s">
        <v>74</v>
      </c>
      <c r="B4" s="617" t="s">
        <v>922</v>
      </c>
      <c r="C4" s="253" t="s">
        <v>1190</v>
      </c>
      <c r="D4" s="637">
        <v>2.64</v>
      </c>
      <c r="E4" s="255">
        <v>3840</v>
      </c>
      <c r="F4" s="495">
        <f t="shared" ref="F4:F67" si="0">ROUND((D4*E4),2)</f>
        <v>10137.6</v>
      </c>
      <c r="G4" s="486">
        <v>2.589</v>
      </c>
    </row>
    <row r="5" spans="1:10" x14ac:dyDescent="0.2">
      <c r="A5" s="634" t="s">
        <v>82</v>
      </c>
      <c r="B5" s="618" t="str">
        <f>'BASE DATOS MATERIALES'!A54</f>
        <v>POSTE HORMIGÓN ARMADO CIRCULAR 10 M X 400 KG</v>
      </c>
      <c r="C5" s="253" t="s">
        <v>77</v>
      </c>
      <c r="D5" s="638">
        <v>26</v>
      </c>
      <c r="E5" s="255">
        <v>205.53</v>
      </c>
      <c r="F5" s="495">
        <f t="shared" si="0"/>
        <v>5343.78</v>
      </c>
      <c r="J5" s="110" t="s">
        <v>1067</v>
      </c>
    </row>
    <row r="6" spans="1:10" x14ac:dyDescent="0.2">
      <c r="A6" s="634" t="s">
        <v>109</v>
      </c>
      <c r="B6" s="618" t="str">
        <f>'BASE DATOS MATERIALES'!A55</f>
        <v>POSTE HORMIGÓN ARMADO CIRCULAR 10 M, 2000 KG (autosoportante)</v>
      </c>
      <c r="C6" s="253" t="s">
        <v>77</v>
      </c>
      <c r="D6" s="638">
        <v>16</v>
      </c>
      <c r="E6" s="255">
        <v>852.87</v>
      </c>
      <c r="F6" s="495">
        <f t="shared" si="0"/>
        <v>13645.92</v>
      </c>
    </row>
    <row r="7" spans="1:10" x14ac:dyDescent="0.2">
      <c r="A7" s="614" t="s">
        <v>116</v>
      </c>
      <c r="B7" s="618" t="str">
        <f>'BASE DATOS MATERIALES'!A56</f>
        <v>POSTE HORMIGÓN ARMADO CIRCULAR 12 M X 500 KG</v>
      </c>
      <c r="C7" s="253" t="s">
        <v>77</v>
      </c>
      <c r="D7" s="638">
        <v>7</v>
      </c>
      <c r="E7" s="255">
        <v>287.85000000000002</v>
      </c>
      <c r="F7" s="495">
        <f t="shared" si="0"/>
        <v>2014.95</v>
      </c>
    </row>
    <row r="8" spans="1:10" x14ac:dyDescent="0.2">
      <c r="A8" s="634" t="s">
        <v>120</v>
      </c>
      <c r="B8" s="618" t="str">
        <f>'BASE DATOS MATERIALES'!A57</f>
        <v>POSTE HORMIGÓN ARMADO CIRCULAR 12 M X  2000 KG (autosoportante)</v>
      </c>
      <c r="C8" s="253" t="s">
        <v>77</v>
      </c>
      <c r="D8" s="638">
        <v>26</v>
      </c>
      <c r="E8" s="255">
        <v>955.23</v>
      </c>
      <c r="F8" s="495">
        <f t="shared" si="0"/>
        <v>24835.98</v>
      </c>
    </row>
    <row r="9" spans="1:10" x14ac:dyDescent="0.2">
      <c r="A9" s="634" t="s">
        <v>124</v>
      </c>
      <c r="B9" s="618" t="str">
        <f>'BASE DATOS MATERIALES'!A61</f>
        <v>Poste circular de plástico reforzado con fibra de vidrio, 10 m, 400 kg</v>
      </c>
      <c r="C9" s="253" t="s">
        <v>77</v>
      </c>
      <c r="D9" s="638">
        <v>6</v>
      </c>
      <c r="E9" s="255">
        <v>532.74</v>
      </c>
      <c r="F9" s="495">
        <f t="shared" si="0"/>
        <v>3196.44</v>
      </c>
    </row>
    <row r="10" spans="1:10" ht="12.75" customHeight="1" thickBot="1" x14ac:dyDescent="0.25">
      <c r="A10" s="614" t="s">
        <v>128</v>
      </c>
      <c r="B10" s="618" t="str">
        <f>'BASE DATOS MATERIALES'!A62</f>
        <v>Poste circular de plástico reforzado con fibra de vidrio, 10 m, 2000 kg  (Autosoportable)</v>
      </c>
      <c r="C10" s="253" t="s">
        <v>77</v>
      </c>
      <c r="D10" s="638">
        <v>2</v>
      </c>
      <c r="E10" s="255">
        <v>1259.6600000000001</v>
      </c>
      <c r="F10" s="495">
        <f t="shared" si="0"/>
        <v>2519.3200000000002</v>
      </c>
    </row>
    <row r="11" spans="1:10" ht="12" customHeight="1" thickBot="1" x14ac:dyDescent="0.25">
      <c r="A11" s="634" t="s">
        <v>143</v>
      </c>
      <c r="B11" s="619" t="s">
        <v>1095</v>
      </c>
      <c r="C11" s="253" t="s">
        <v>1052</v>
      </c>
      <c r="D11" s="639">
        <v>5.6319999999999997</v>
      </c>
      <c r="E11" s="255">
        <v>345</v>
      </c>
      <c r="F11" s="495">
        <f t="shared" si="0"/>
        <v>1943.04</v>
      </c>
      <c r="G11" s="486"/>
    </row>
    <row r="12" spans="1:10" ht="12" customHeight="1" x14ac:dyDescent="0.2">
      <c r="A12" s="634" t="s">
        <v>148</v>
      </c>
      <c r="B12" s="619" t="s">
        <v>1096</v>
      </c>
      <c r="C12" s="253" t="s">
        <v>1052</v>
      </c>
      <c r="D12" s="639">
        <v>45.620000000000005</v>
      </c>
      <c r="E12" s="255">
        <v>24.2</v>
      </c>
      <c r="F12" s="495">
        <f t="shared" si="0"/>
        <v>1104</v>
      </c>
      <c r="G12" s="6"/>
    </row>
    <row r="13" spans="1:10" ht="12.75" customHeight="1" x14ac:dyDescent="0.2">
      <c r="A13" s="614" t="s">
        <v>191</v>
      </c>
      <c r="B13" s="620" t="str">
        <f>'BASE DATOS MATERIALES'!A13</f>
        <v>Transformador 37.5 kVA, 13800 GRdY/7960</v>
      </c>
      <c r="C13" s="253" t="s">
        <v>77</v>
      </c>
      <c r="D13" s="640">
        <v>10</v>
      </c>
      <c r="E13" s="259">
        <v>2557.5300000000002</v>
      </c>
      <c r="F13" s="495">
        <f t="shared" si="0"/>
        <v>25575.3</v>
      </c>
    </row>
    <row r="14" spans="1:10" ht="12.75" customHeight="1" x14ac:dyDescent="0.2">
      <c r="A14" s="634" t="s">
        <v>198</v>
      </c>
      <c r="B14" s="620" t="str">
        <f>'BASE DATOS MATERIALES'!A14</f>
        <v>Transformador 50 kVA, 13800 GRdY / 7960</v>
      </c>
      <c r="C14" s="253" t="s">
        <v>77</v>
      </c>
      <c r="D14" s="640">
        <v>8</v>
      </c>
      <c r="E14" s="259">
        <v>2882.46</v>
      </c>
      <c r="F14" s="495">
        <f t="shared" si="0"/>
        <v>23059.68</v>
      </c>
    </row>
    <row r="15" spans="1:10" ht="26.25" customHeight="1" x14ac:dyDescent="0.2">
      <c r="A15" s="634" t="s">
        <v>200</v>
      </c>
      <c r="B15" s="620" t="s">
        <v>778</v>
      </c>
      <c r="C15" s="253" t="s">
        <v>77</v>
      </c>
      <c r="D15" s="640">
        <v>1</v>
      </c>
      <c r="E15" s="259">
        <v>169.44</v>
      </c>
      <c r="F15" s="495">
        <f t="shared" si="0"/>
        <v>169.44</v>
      </c>
    </row>
    <row r="16" spans="1:10" ht="12.75" customHeight="1" x14ac:dyDescent="0.2">
      <c r="A16" s="614" t="s">
        <v>739</v>
      </c>
      <c r="B16" s="620" t="s">
        <v>1011</v>
      </c>
      <c r="C16" s="253" t="s">
        <v>77</v>
      </c>
      <c r="D16" s="639">
        <v>1</v>
      </c>
      <c r="E16" s="259">
        <v>3.41</v>
      </c>
      <c r="F16" s="495">
        <f t="shared" si="0"/>
        <v>3.41</v>
      </c>
    </row>
    <row r="17" spans="1:9" ht="27" customHeight="1" thickBot="1" x14ac:dyDescent="0.25">
      <c r="A17" s="634" t="s">
        <v>740</v>
      </c>
      <c r="B17" s="620" t="str">
        <f>'BASE DATOS MATERIALES'!A21</f>
        <v>LUMINARIA CON LÁMPARA DE ALTA PRESIÓN NA DE 150W POTENCIA CONSTANTE, CON BRAZO PARA MONTAJE EN POSTE, 240/120V, AUTOCONTROLADA</v>
      </c>
      <c r="C17" s="253" t="s">
        <v>77</v>
      </c>
      <c r="D17" s="640">
        <v>96</v>
      </c>
      <c r="E17" s="259">
        <v>156.85</v>
      </c>
      <c r="F17" s="495">
        <f t="shared" si="0"/>
        <v>15057.6</v>
      </c>
    </row>
    <row r="18" spans="1:9" ht="12.75" customHeight="1" thickBot="1" x14ac:dyDescent="0.25">
      <c r="A18" s="634" t="s">
        <v>1154</v>
      </c>
      <c r="B18" s="620" t="str">
        <f>'BASE DATOS MATERIALES'!A23</f>
        <v>AISLADOR SUSPENSION ANSI 52-1</v>
      </c>
      <c r="C18" s="253" t="s">
        <v>77</v>
      </c>
      <c r="D18" s="639">
        <v>50</v>
      </c>
      <c r="E18" s="259">
        <v>11.17</v>
      </c>
      <c r="F18" s="495">
        <f t="shared" si="0"/>
        <v>558.5</v>
      </c>
      <c r="G18" s="486"/>
    </row>
    <row r="19" spans="1:9" ht="12.75" customHeight="1" thickBot="1" x14ac:dyDescent="0.25">
      <c r="A19" s="614" t="s">
        <v>1201</v>
      </c>
      <c r="B19" s="620" t="str">
        <f>'BASE DATOS MATERIALES'!A24</f>
        <v xml:space="preserve">AISLADOR TIPO ESPIGA (PIN), DE PORCELANA, CLASE ANSI 56-1, 25 kV </v>
      </c>
      <c r="C19" s="253" t="s">
        <v>77</v>
      </c>
      <c r="D19" s="639">
        <v>28</v>
      </c>
      <c r="E19" s="259">
        <v>15.08</v>
      </c>
      <c r="F19" s="495">
        <f t="shared" si="0"/>
        <v>422.24</v>
      </c>
      <c r="G19" s="486"/>
    </row>
    <row r="20" spans="1:9" ht="12.75" customHeight="1" thickBot="1" x14ac:dyDescent="0.25">
      <c r="A20" s="634" t="s">
        <v>1202</v>
      </c>
      <c r="B20" s="620" t="s">
        <v>231</v>
      </c>
      <c r="C20" s="253" t="s">
        <v>77</v>
      </c>
      <c r="D20" s="639">
        <v>41</v>
      </c>
      <c r="E20" s="259">
        <v>1.46</v>
      </c>
      <c r="F20" s="495">
        <f t="shared" si="0"/>
        <v>59.86</v>
      </c>
      <c r="G20" s="486"/>
    </row>
    <row r="21" spans="1:9" ht="12.75" customHeight="1" thickBot="1" x14ac:dyDescent="0.25">
      <c r="A21" s="634" t="s">
        <v>1203</v>
      </c>
      <c r="B21" s="620" t="s">
        <v>232</v>
      </c>
      <c r="C21" s="253" t="s">
        <v>77</v>
      </c>
      <c r="D21" s="639">
        <v>8</v>
      </c>
      <c r="E21" s="259">
        <v>7.38</v>
      </c>
      <c r="F21" s="495">
        <f t="shared" si="0"/>
        <v>59.04</v>
      </c>
      <c r="G21" s="486"/>
    </row>
    <row r="22" spans="1:9" ht="12.75" customHeight="1" thickBot="1" x14ac:dyDescent="0.25">
      <c r="A22" s="614" t="s">
        <v>1200</v>
      </c>
      <c r="B22" s="620" t="s">
        <v>234</v>
      </c>
      <c r="C22" s="253" t="s">
        <v>194</v>
      </c>
      <c r="D22" s="639">
        <v>442</v>
      </c>
      <c r="E22" s="259">
        <v>1.4</v>
      </c>
      <c r="F22" s="495">
        <f t="shared" si="0"/>
        <v>618.79999999999995</v>
      </c>
      <c r="G22" s="486"/>
    </row>
    <row r="23" spans="1:9" ht="12.75" customHeight="1" thickBot="1" x14ac:dyDescent="0.25">
      <c r="A23" s="634" t="s">
        <v>1204</v>
      </c>
      <c r="B23" s="620" t="s">
        <v>236</v>
      </c>
      <c r="C23" s="253" t="s">
        <v>194</v>
      </c>
      <c r="D23" s="639">
        <v>108</v>
      </c>
      <c r="E23" s="259">
        <v>8.31</v>
      </c>
      <c r="F23" s="495">
        <f t="shared" si="0"/>
        <v>897.48</v>
      </c>
      <c r="G23" s="486"/>
    </row>
    <row r="24" spans="1:9" ht="12.75" customHeight="1" thickBot="1" x14ac:dyDescent="0.25">
      <c r="A24" s="634" t="s">
        <v>1205</v>
      </c>
      <c r="B24" s="620" t="str">
        <f>'BASE DATOS MATERIALES'!A39</f>
        <v>RETENCION PREFORMADA PARA CABLE DE ACERO GALV. 9,52mm, (3/8"), 3155kgf</v>
      </c>
      <c r="C24" s="253" t="s">
        <v>77</v>
      </c>
      <c r="D24" s="639">
        <v>54</v>
      </c>
      <c r="E24" s="259">
        <v>5.38</v>
      </c>
      <c r="F24" s="495">
        <f t="shared" si="0"/>
        <v>290.52</v>
      </c>
      <c r="G24" s="486"/>
    </row>
    <row r="25" spans="1:9" ht="12.75" customHeight="1" thickBot="1" x14ac:dyDescent="0.25">
      <c r="A25" s="614" t="s">
        <v>1206</v>
      </c>
      <c r="B25" s="620" t="str">
        <f>'BASE DATOS MATERIALES'!A218</f>
        <v>VARILLA DE ARMAR PREFORMADA SIMPLE, PARA CABLE  ACSR 2-2/0</v>
      </c>
      <c r="C25" s="253" t="s">
        <v>77</v>
      </c>
      <c r="D25" s="639">
        <v>28</v>
      </c>
      <c r="E25" s="260">
        <v>8.67</v>
      </c>
      <c r="F25" s="495">
        <f t="shared" si="0"/>
        <v>242.76</v>
      </c>
      <c r="G25" s="486"/>
    </row>
    <row r="26" spans="1:9" ht="12.75" customHeight="1" thickBot="1" x14ac:dyDescent="0.25">
      <c r="A26" s="634" t="s">
        <v>1207</v>
      </c>
      <c r="B26" s="621" t="str">
        <f>'BASE DATOS MATERIALES'!A34</f>
        <v>ESTRIBO DE ALEACION Cu- Sn, PARA DERIVACION</v>
      </c>
      <c r="C26" s="253" t="s">
        <v>77</v>
      </c>
      <c r="D26" s="639">
        <v>20</v>
      </c>
      <c r="E26" s="260">
        <v>10.59</v>
      </c>
      <c r="F26" s="495">
        <f t="shared" si="0"/>
        <v>211.8</v>
      </c>
      <c r="G26" s="486"/>
    </row>
    <row r="27" spans="1:9" ht="24.75" customHeight="1" thickBot="1" x14ac:dyDescent="0.25">
      <c r="A27" s="634" t="s">
        <v>1208</v>
      </c>
      <c r="B27" s="615" t="str">
        <f>'BASE DATOS MATERIALES'!A45</f>
        <v>Varilla para puesta a tierra tipo copperweld, 16 mm (5/8") de diám. x 1800 mm (71") de long., de alta camada</v>
      </c>
      <c r="C27" s="253" t="s">
        <v>77</v>
      </c>
      <c r="D27" s="639">
        <v>320</v>
      </c>
      <c r="E27" s="472">
        <v>12.66</v>
      </c>
      <c r="F27" s="495">
        <f t="shared" si="0"/>
        <v>4051.2</v>
      </c>
      <c r="G27" s="486">
        <v>2</v>
      </c>
      <c r="I27" s="110">
        <v>1</v>
      </c>
    </row>
    <row r="28" spans="1:9" ht="12.75" customHeight="1" thickBot="1" x14ac:dyDescent="0.25">
      <c r="A28" s="614" t="s">
        <v>1192</v>
      </c>
      <c r="B28" s="620" t="s">
        <v>386</v>
      </c>
      <c r="C28" s="253" t="s">
        <v>77</v>
      </c>
      <c r="D28" s="639">
        <v>234</v>
      </c>
      <c r="E28" s="259">
        <v>4.2300000000000004</v>
      </c>
      <c r="F28" s="495">
        <f t="shared" si="0"/>
        <v>989.82</v>
      </c>
      <c r="G28" s="486"/>
      <c r="I28" s="110">
        <v>12</v>
      </c>
    </row>
    <row r="29" spans="1:9" ht="12.75" customHeight="1" thickBot="1" x14ac:dyDescent="0.25">
      <c r="A29" s="634" t="s">
        <v>1209</v>
      </c>
      <c r="B29" s="620" t="s">
        <v>1033</v>
      </c>
      <c r="C29" s="253" t="s">
        <v>194</v>
      </c>
      <c r="D29" s="639">
        <v>600</v>
      </c>
      <c r="E29" s="259">
        <v>1.93</v>
      </c>
      <c r="F29" s="495">
        <f t="shared" si="0"/>
        <v>1158</v>
      </c>
      <c r="G29" s="486"/>
    </row>
    <row r="30" spans="1:9" ht="12.75" customHeight="1" thickBot="1" x14ac:dyDescent="0.25">
      <c r="A30" s="634" t="s">
        <v>1196</v>
      </c>
      <c r="B30" s="620" t="s">
        <v>1027</v>
      </c>
      <c r="C30" s="253" t="s">
        <v>77</v>
      </c>
      <c r="D30" s="639">
        <v>300</v>
      </c>
      <c r="E30" s="259">
        <v>9.14</v>
      </c>
      <c r="F30" s="495">
        <f t="shared" si="0"/>
        <v>2742</v>
      </c>
      <c r="G30" s="486"/>
    </row>
    <row r="31" spans="1:9" ht="12.75" customHeight="1" thickBot="1" x14ac:dyDescent="0.25">
      <c r="A31" s="614" t="s">
        <v>1210</v>
      </c>
      <c r="B31" s="620" t="s">
        <v>1026</v>
      </c>
      <c r="C31" s="253" t="s">
        <v>77</v>
      </c>
      <c r="D31" s="639">
        <v>18</v>
      </c>
      <c r="E31" s="259">
        <v>13.11</v>
      </c>
      <c r="F31" s="495">
        <f t="shared" si="0"/>
        <v>235.98</v>
      </c>
      <c r="G31" s="486"/>
      <c r="I31" s="110">
        <v>1</v>
      </c>
    </row>
    <row r="32" spans="1:9" ht="12.75" customHeight="1" thickBot="1" x14ac:dyDescent="0.25">
      <c r="A32" s="634" t="s">
        <v>1211</v>
      </c>
      <c r="B32" s="621" t="s">
        <v>1036</v>
      </c>
      <c r="C32" s="253" t="s">
        <v>194</v>
      </c>
      <c r="D32" s="639">
        <v>600</v>
      </c>
      <c r="E32" s="259">
        <v>0.65</v>
      </c>
      <c r="F32" s="495">
        <f t="shared" si="0"/>
        <v>390</v>
      </c>
      <c r="G32" s="486"/>
    </row>
    <row r="33" spans="1:13" ht="29.25" customHeight="1" thickBot="1" x14ac:dyDescent="0.25">
      <c r="A33" s="634" t="s">
        <v>1212</v>
      </c>
      <c r="B33" s="622" t="str">
        <f>'BASE DATOS MATERIALES'!A77</f>
        <v>ABRAZADERA DE ACERO GALVANIZADO, PLETINA, 3 PERNOS, 38x4x140 mm (1 1/2" X 5/32" X 5 1/2")</v>
      </c>
      <c r="C33" s="253" t="s">
        <v>77</v>
      </c>
      <c r="D33" s="639">
        <v>145</v>
      </c>
      <c r="E33" s="259">
        <v>6.23</v>
      </c>
      <c r="F33" s="495">
        <f t="shared" si="0"/>
        <v>903.35</v>
      </c>
      <c r="G33" s="486"/>
      <c r="J33" s="211"/>
      <c r="K33" s="211"/>
      <c r="L33" s="212"/>
      <c r="M33" s="6"/>
    </row>
    <row r="34" spans="1:13" ht="12.75" customHeight="1" thickBot="1" x14ac:dyDescent="0.25">
      <c r="A34" s="614" t="s">
        <v>1213</v>
      </c>
      <c r="B34" s="620" t="s">
        <v>250</v>
      </c>
      <c r="C34" s="253" t="s">
        <v>77</v>
      </c>
      <c r="D34" s="639">
        <v>36</v>
      </c>
      <c r="E34" s="259">
        <v>8.89</v>
      </c>
      <c r="F34" s="495">
        <f t="shared" si="0"/>
        <v>320.04000000000002</v>
      </c>
      <c r="G34" s="486"/>
      <c r="J34" s="211"/>
      <c r="K34" s="211"/>
      <c r="L34" s="212"/>
      <c r="M34" s="6"/>
    </row>
    <row r="35" spans="1:13" ht="12.75" customHeight="1" thickBot="1" x14ac:dyDescent="0.25">
      <c r="A35" s="634" t="s">
        <v>1214</v>
      </c>
      <c r="B35" s="620" t="s">
        <v>252</v>
      </c>
      <c r="C35" s="253" t="s">
        <v>77</v>
      </c>
      <c r="D35" s="639">
        <v>37</v>
      </c>
      <c r="E35" s="259">
        <v>11.48</v>
      </c>
      <c r="F35" s="495">
        <f t="shared" si="0"/>
        <v>424.76</v>
      </c>
      <c r="G35" s="486"/>
      <c r="J35" s="211"/>
      <c r="K35" s="211"/>
      <c r="L35" s="212"/>
      <c r="M35" s="6"/>
    </row>
    <row r="36" spans="1:13" ht="12.75" customHeight="1" thickBot="1" x14ac:dyDescent="0.25">
      <c r="A36" s="634" t="s">
        <v>1215</v>
      </c>
      <c r="B36" s="623" t="str">
        <f>'BASE DATOS MATERIALES'!A83</f>
        <v>PERNO PIN PUNTA DE POSTE SIMPLE DE ACERO GALVANIZADO CON ACCESORIOS DE SUJECION 19x457mm (3/4"x18")</v>
      </c>
      <c r="C36" s="253" t="s">
        <v>77</v>
      </c>
      <c r="D36" s="639">
        <v>28</v>
      </c>
      <c r="E36" s="259">
        <v>15.41</v>
      </c>
      <c r="F36" s="495">
        <f t="shared" si="0"/>
        <v>431.48</v>
      </c>
      <c r="G36" s="486"/>
      <c r="J36" s="211"/>
      <c r="K36" s="211"/>
      <c r="L36" s="212"/>
      <c r="M36" s="6"/>
    </row>
    <row r="37" spans="1:13" ht="12.75" customHeight="1" thickBot="1" x14ac:dyDescent="0.25">
      <c r="A37" s="614" t="s">
        <v>1216</v>
      </c>
      <c r="B37" s="620" t="s">
        <v>256</v>
      </c>
      <c r="C37" s="253" t="s">
        <v>77</v>
      </c>
      <c r="D37" s="639">
        <v>20</v>
      </c>
      <c r="E37" s="259">
        <v>6.73</v>
      </c>
      <c r="F37" s="495">
        <f t="shared" si="0"/>
        <v>134.6</v>
      </c>
      <c r="G37" s="486"/>
      <c r="J37" s="211"/>
      <c r="K37" s="211"/>
      <c r="L37" s="212"/>
      <c r="M37" s="6"/>
    </row>
    <row r="38" spans="1:13" ht="12.75" customHeight="1" thickBot="1" x14ac:dyDescent="0.25">
      <c r="A38" s="634" t="s">
        <v>1217</v>
      </c>
      <c r="B38" s="620" t="str">
        <f>'BASE DATOS MATERIALES'!A97</f>
        <v>BASTIDOR  DE ACERO GALVANIZADO 1 VIA, 38x4mm (1 1/2x11/64) CON BASE</v>
      </c>
      <c r="C38" s="253" t="s">
        <v>77</v>
      </c>
      <c r="D38" s="639">
        <v>41</v>
      </c>
      <c r="E38" s="259">
        <v>2.97</v>
      </c>
      <c r="F38" s="495">
        <f t="shared" si="0"/>
        <v>121.77</v>
      </c>
      <c r="G38" s="486"/>
    </row>
    <row r="39" spans="1:13" ht="12.75" customHeight="1" thickBot="1" x14ac:dyDescent="0.25">
      <c r="A39" s="634" t="s">
        <v>1218</v>
      </c>
      <c r="B39" s="620" t="str">
        <f>'BASE DATOS MATERIALES'!A110</f>
        <v xml:space="preserve">Grapa terminal apernada tipo pistola, de aleación de Al 6 - 3/0 Conductor ACSR </v>
      </c>
      <c r="C39" s="253" t="s">
        <v>77</v>
      </c>
      <c r="D39" s="639">
        <v>103</v>
      </c>
      <c r="E39" s="259">
        <v>11.19</v>
      </c>
      <c r="F39" s="495">
        <f t="shared" si="0"/>
        <v>1152.57</v>
      </c>
      <c r="G39" s="486"/>
    </row>
    <row r="40" spans="1:13" ht="12.75" customHeight="1" thickBot="1" x14ac:dyDescent="0.25">
      <c r="A40" s="614" t="s">
        <v>1219</v>
      </c>
      <c r="B40" s="620" t="s">
        <v>282</v>
      </c>
      <c r="C40" s="253" t="s">
        <v>77</v>
      </c>
      <c r="D40" s="639">
        <v>20</v>
      </c>
      <c r="E40" s="259">
        <v>14.7</v>
      </c>
      <c r="F40" s="495">
        <f t="shared" si="0"/>
        <v>294</v>
      </c>
      <c r="G40" s="486"/>
    </row>
    <row r="41" spans="1:13" ht="13.5" customHeight="1" thickBot="1" x14ac:dyDescent="0.25">
      <c r="A41" s="634" t="s">
        <v>1220</v>
      </c>
      <c r="B41" s="620" t="str">
        <f>'BASE DATOS MATERIALES'!A184</f>
        <v>TUERCA DE OJO OVALADO DE ACERO GALVANIZADO, PARA PERNO DE 16 mm (5/8") DE DIAM.</v>
      </c>
      <c r="C41" s="253" t="s">
        <v>77</v>
      </c>
      <c r="D41" s="639">
        <v>103</v>
      </c>
      <c r="E41" s="259">
        <v>2.31</v>
      </c>
      <c r="F41" s="495">
        <f t="shared" si="0"/>
        <v>237.93</v>
      </c>
      <c r="G41" s="486"/>
    </row>
    <row r="42" spans="1:13" ht="12.75" customHeight="1" thickBot="1" x14ac:dyDescent="0.25">
      <c r="A42" s="634" t="s">
        <v>1221</v>
      </c>
      <c r="B42" s="620" t="s">
        <v>385</v>
      </c>
      <c r="C42" s="253" t="s">
        <v>77</v>
      </c>
      <c r="D42" s="639">
        <v>37</v>
      </c>
      <c r="E42" s="259">
        <v>6.47</v>
      </c>
      <c r="F42" s="495">
        <f t="shared" si="0"/>
        <v>239.39</v>
      </c>
      <c r="G42" s="486"/>
    </row>
    <row r="43" spans="1:13" ht="12.75" customHeight="1" thickBot="1" x14ac:dyDescent="0.25">
      <c r="A43" s="614" t="s">
        <v>1197</v>
      </c>
      <c r="B43" s="620" t="s">
        <v>286</v>
      </c>
      <c r="C43" s="253" t="s">
        <v>77</v>
      </c>
      <c r="D43" s="639">
        <v>38</v>
      </c>
      <c r="E43" s="259">
        <v>1.01</v>
      </c>
      <c r="F43" s="495">
        <f t="shared" si="0"/>
        <v>38.380000000000003</v>
      </c>
      <c r="G43" s="486"/>
    </row>
    <row r="44" spans="1:13" ht="12.75" customHeight="1" thickBot="1" x14ac:dyDescent="0.25">
      <c r="A44" s="634" t="s">
        <v>1222</v>
      </c>
      <c r="B44" s="620" t="s">
        <v>291</v>
      </c>
      <c r="C44" s="253" t="s">
        <v>77</v>
      </c>
      <c r="D44" s="639">
        <v>678</v>
      </c>
      <c r="E44" s="259">
        <v>0.79</v>
      </c>
      <c r="F44" s="495">
        <f t="shared" si="0"/>
        <v>535.62</v>
      </c>
      <c r="G44" s="486"/>
    </row>
    <row r="45" spans="1:13" ht="12.75" customHeight="1" thickBot="1" x14ac:dyDescent="0.25">
      <c r="A45" s="634" t="s">
        <v>1223</v>
      </c>
      <c r="B45" s="620" t="s">
        <v>293</v>
      </c>
      <c r="C45" s="253" t="s">
        <v>77</v>
      </c>
      <c r="D45" s="639">
        <v>78</v>
      </c>
      <c r="E45" s="259">
        <v>4.51</v>
      </c>
      <c r="F45" s="495">
        <f t="shared" si="0"/>
        <v>351.78</v>
      </c>
      <c r="G45" s="486"/>
    </row>
    <row r="46" spans="1:13" ht="12.75" customHeight="1" thickBot="1" x14ac:dyDescent="0.25">
      <c r="A46" s="614" t="s">
        <v>1224</v>
      </c>
      <c r="B46" s="620" t="s">
        <v>299</v>
      </c>
      <c r="C46" s="253" t="s">
        <v>77</v>
      </c>
      <c r="D46" s="639">
        <v>678</v>
      </c>
      <c r="E46" s="259">
        <v>1.48</v>
      </c>
      <c r="F46" s="495">
        <f t="shared" si="0"/>
        <v>1003.44</v>
      </c>
      <c r="G46" s="486"/>
    </row>
    <row r="47" spans="1:13" ht="12.75" customHeight="1" thickBot="1" x14ac:dyDescent="0.25">
      <c r="A47" s="634" t="s">
        <v>1193</v>
      </c>
      <c r="B47" s="620" t="s">
        <v>308</v>
      </c>
      <c r="C47" s="253" t="s">
        <v>77</v>
      </c>
      <c r="D47" s="639">
        <v>3260</v>
      </c>
      <c r="E47" s="259">
        <v>0.18</v>
      </c>
      <c r="F47" s="495">
        <f t="shared" si="0"/>
        <v>586.79999999999995</v>
      </c>
      <c r="G47" s="486"/>
    </row>
    <row r="48" spans="1:13" ht="12.75" customHeight="1" thickBot="1" x14ac:dyDescent="0.25">
      <c r="A48" s="634" t="s">
        <v>1225</v>
      </c>
      <c r="B48" s="620" t="s">
        <v>309</v>
      </c>
      <c r="C48" s="253" t="s">
        <v>77</v>
      </c>
      <c r="D48" s="639">
        <v>234</v>
      </c>
      <c r="E48" s="259">
        <v>0.64</v>
      </c>
      <c r="F48" s="495">
        <f t="shared" si="0"/>
        <v>149.76</v>
      </c>
      <c r="G48" s="486"/>
    </row>
    <row r="49" spans="1:7" ht="12.75" customHeight="1" thickBot="1" x14ac:dyDescent="0.25">
      <c r="A49" s="614" t="s">
        <v>1226</v>
      </c>
      <c r="B49" s="620" t="s">
        <v>312</v>
      </c>
      <c r="C49" s="253" t="s">
        <v>77</v>
      </c>
      <c r="D49" s="639">
        <v>678</v>
      </c>
      <c r="E49" s="259">
        <v>2.09</v>
      </c>
      <c r="F49" s="495">
        <f t="shared" si="0"/>
        <v>1417.02</v>
      </c>
      <c r="G49" s="486"/>
    </row>
    <row r="50" spans="1:7" ht="12.75" customHeight="1" thickBot="1" x14ac:dyDescent="0.25">
      <c r="A50" s="634" t="s">
        <v>1227</v>
      </c>
      <c r="B50" s="620" t="s">
        <v>318</v>
      </c>
      <c r="C50" s="253" t="s">
        <v>77</v>
      </c>
      <c r="D50" s="639">
        <v>1017</v>
      </c>
      <c r="E50" s="259">
        <v>3.39</v>
      </c>
      <c r="F50" s="495">
        <f t="shared" si="0"/>
        <v>3447.63</v>
      </c>
      <c r="G50" s="486"/>
    </row>
    <row r="51" spans="1:7" ht="12.75" customHeight="1" thickBot="1" x14ac:dyDescent="0.25">
      <c r="A51" s="634" t="s">
        <v>1228</v>
      </c>
      <c r="B51" s="620" t="s">
        <v>319</v>
      </c>
      <c r="C51" s="253" t="s">
        <v>77</v>
      </c>
      <c r="D51" s="639">
        <v>72</v>
      </c>
      <c r="E51" s="259">
        <v>2.94</v>
      </c>
      <c r="F51" s="495">
        <f t="shared" si="0"/>
        <v>211.68</v>
      </c>
      <c r="G51" s="486"/>
    </row>
    <row r="52" spans="1:7" ht="12.75" customHeight="1" thickBot="1" x14ac:dyDescent="0.25">
      <c r="A52" s="614" t="s">
        <v>1195</v>
      </c>
      <c r="B52" s="620" t="s">
        <v>321</v>
      </c>
      <c r="C52" s="253" t="s">
        <v>77</v>
      </c>
      <c r="D52" s="639">
        <v>54</v>
      </c>
      <c r="E52" s="259">
        <v>9.48</v>
      </c>
      <c r="F52" s="495">
        <f t="shared" si="0"/>
        <v>511.92</v>
      </c>
      <c r="G52" s="486"/>
    </row>
    <row r="53" spans="1:7" ht="12.75" customHeight="1" thickBot="1" x14ac:dyDescent="0.25">
      <c r="A53" s="634" t="s">
        <v>1229</v>
      </c>
      <c r="B53" s="620" t="s">
        <v>328</v>
      </c>
      <c r="C53" s="253" t="s">
        <v>77</v>
      </c>
      <c r="D53" s="639">
        <v>339</v>
      </c>
      <c r="E53" s="259">
        <v>0.94</v>
      </c>
      <c r="F53" s="495">
        <f t="shared" si="0"/>
        <v>318.66000000000003</v>
      </c>
      <c r="G53" s="486"/>
    </row>
    <row r="54" spans="1:7" ht="13.5" thickBot="1" x14ac:dyDescent="0.25">
      <c r="A54" s="634" t="s">
        <v>1230</v>
      </c>
      <c r="B54" s="624" t="s">
        <v>1015</v>
      </c>
      <c r="C54" s="253" t="s">
        <v>77</v>
      </c>
      <c r="D54" s="641">
        <v>300</v>
      </c>
      <c r="E54" s="255">
        <v>24.8</v>
      </c>
      <c r="F54" s="495">
        <f t="shared" si="0"/>
        <v>7440</v>
      </c>
      <c r="G54" s="486"/>
    </row>
    <row r="55" spans="1:7" ht="13.5" thickBot="1" x14ac:dyDescent="0.25">
      <c r="A55" s="614" t="s">
        <v>1231</v>
      </c>
      <c r="B55" s="624" t="s">
        <v>738</v>
      </c>
      <c r="C55" s="253" t="s">
        <v>77</v>
      </c>
      <c r="D55" s="641">
        <v>300</v>
      </c>
      <c r="E55" s="255">
        <v>14.31</v>
      </c>
      <c r="F55" s="495">
        <f t="shared" si="0"/>
        <v>4293</v>
      </c>
      <c r="G55" s="486"/>
    </row>
    <row r="56" spans="1:7" ht="13.5" thickBot="1" x14ac:dyDescent="0.25">
      <c r="A56" s="634" t="s">
        <v>1199</v>
      </c>
      <c r="B56" s="624" t="s">
        <v>1035</v>
      </c>
      <c r="C56" s="253" t="s">
        <v>77</v>
      </c>
      <c r="D56" s="641">
        <v>300</v>
      </c>
      <c r="E56" s="255">
        <v>12.6</v>
      </c>
      <c r="F56" s="495">
        <f t="shared" si="0"/>
        <v>3780</v>
      </c>
      <c r="G56" s="486"/>
    </row>
    <row r="57" spans="1:7" ht="13.5" thickBot="1" x14ac:dyDescent="0.25">
      <c r="A57" s="634" t="s">
        <v>1232</v>
      </c>
      <c r="B57" s="624" t="s">
        <v>777</v>
      </c>
      <c r="C57" s="253" t="s">
        <v>77</v>
      </c>
      <c r="D57" s="641">
        <v>300</v>
      </c>
      <c r="E57" s="255">
        <v>14.85</v>
      </c>
      <c r="F57" s="495">
        <f t="shared" si="0"/>
        <v>4455</v>
      </c>
      <c r="G57" s="486"/>
    </row>
    <row r="58" spans="1:7" ht="13.5" thickBot="1" x14ac:dyDescent="0.25">
      <c r="A58" s="614" t="s">
        <v>1233</v>
      </c>
      <c r="B58" s="624" t="s">
        <v>1028</v>
      </c>
      <c r="C58" s="253" t="s">
        <v>77</v>
      </c>
      <c r="D58" s="641">
        <v>300</v>
      </c>
      <c r="E58" s="255">
        <v>23</v>
      </c>
      <c r="F58" s="495">
        <f t="shared" si="0"/>
        <v>6900</v>
      </c>
      <c r="G58" s="486"/>
    </row>
    <row r="59" spans="1:7" ht="13.5" thickBot="1" x14ac:dyDescent="0.25">
      <c r="A59" s="634" t="s">
        <v>1234</v>
      </c>
      <c r="B59" s="624" t="s">
        <v>1019</v>
      </c>
      <c r="C59" s="253" t="s">
        <v>77</v>
      </c>
      <c r="D59" s="641">
        <v>300</v>
      </c>
      <c r="E59" s="255">
        <v>20</v>
      </c>
      <c r="F59" s="495">
        <f t="shared" si="0"/>
        <v>6000</v>
      </c>
      <c r="G59" s="486"/>
    </row>
    <row r="60" spans="1:7" x14ac:dyDescent="0.2">
      <c r="A60" s="634" t="s">
        <v>1235</v>
      </c>
      <c r="B60" s="625" t="s">
        <v>1155</v>
      </c>
      <c r="C60" s="253" t="s">
        <v>77</v>
      </c>
      <c r="D60" s="641">
        <v>18</v>
      </c>
      <c r="E60" s="255">
        <v>90</v>
      </c>
      <c r="F60" s="495">
        <f t="shared" si="0"/>
        <v>1620</v>
      </c>
      <c r="G60" s="598"/>
    </row>
    <row r="61" spans="1:7" x14ac:dyDescent="0.2">
      <c r="A61" s="614" t="s">
        <v>1236</v>
      </c>
      <c r="B61" s="625" t="s">
        <v>1156</v>
      </c>
      <c r="C61" s="253" t="s">
        <v>77</v>
      </c>
      <c r="D61" s="641">
        <v>18</v>
      </c>
      <c r="E61" s="255">
        <v>87</v>
      </c>
      <c r="F61" s="495">
        <f t="shared" si="0"/>
        <v>1566</v>
      </c>
      <c r="G61" s="598"/>
    </row>
    <row r="62" spans="1:7" x14ac:dyDescent="0.2">
      <c r="A62" s="634" t="s">
        <v>1237</v>
      </c>
      <c r="B62" s="625" t="s">
        <v>1157</v>
      </c>
      <c r="C62" s="253" t="s">
        <v>194</v>
      </c>
      <c r="D62" s="641">
        <v>144</v>
      </c>
      <c r="E62" s="255">
        <v>4.8899999999999997</v>
      </c>
      <c r="F62" s="495">
        <f t="shared" si="0"/>
        <v>704.16</v>
      </c>
      <c r="G62" s="598"/>
    </row>
    <row r="63" spans="1:7" ht="25.5" x14ac:dyDescent="0.2">
      <c r="A63" s="634" t="s">
        <v>1238</v>
      </c>
      <c r="B63" s="625" t="s">
        <v>1158</v>
      </c>
      <c r="C63" s="253" t="s">
        <v>77</v>
      </c>
      <c r="D63" s="641">
        <v>18</v>
      </c>
      <c r="E63" s="255">
        <v>422.44</v>
      </c>
      <c r="F63" s="495">
        <f t="shared" si="0"/>
        <v>7603.92</v>
      </c>
      <c r="G63" s="598"/>
    </row>
    <row r="64" spans="1:7" x14ac:dyDescent="0.2">
      <c r="A64" s="614" t="s">
        <v>1239</v>
      </c>
      <c r="B64" s="626" t="s">
        <v>1159</v>
      </c>
      <c r="C64" s="253" t="s">
        <v>77</v>
      </c>
      <c r="D64" s="641">
        <v>18</v>
      </c>
      <c r="E64" s="255">
        <v>5.77</v>
      </c>
      <c r="F64" s="495">
        <f t="shared" si="0"/>
        <v>103.86</v>
      </c>
      <c r="G64" s="598"/>
    </row>
    <row r="65" spans="1:9" x14ac:dyDescent="0.2">
      <c r="A65" s="634" t="s">
        <v>1240</v>
      </c>
      <c r="B65" s="626" t="s">
        <v>1160</v>
      </c>
      <c r="C65" s="253" t="s">
        <v>77</v>
      </c>
      <c r="D65" s="641">
        <v>18</v>
      </c>
      <c r="E65" s="255">
        <v>1.47</v>
      </c>
      <c r="F65" s="495">
        <f t="shared" si="0"/>
        <v>26.46</v>
      </c>
      <c r="G65" s="598"/>
    </row>
    <row r="66" spans="1:9" x14ac:dyDescent="0.2">
      <c r="A66" s="634" t="s">
        <v>1241</v>
      </c>
      <c r="B66" s="626" t="s">
        <v>1161</v>
      </c>
      <c r="C66" s="253" t="s">
        <v>77</v>
      </c>
      <c r="D66" s="641">
        <v>18</v>
      </c>
      <c r="E66" s="255">
        <v>0.53</v>
      </c>
      <c r="F66" s="495">
        <f t="shared" si="0"/>
        <v>9.5399999999999991</v>
      </c>
      <c r="G66" s="598"/>
    </row>
    <row r="67" spans="1:9" x14ac:dyDescent="0.2">
      <c r="A67" s="614" t="s">
        <v>1242</v>
      </c>
      <c r="B67" s="626" t="s">
        <v>1162</v>
      </c>
      <c r="C67" s="253" t="s">
        <v>77</v>
      </c>
      <c r="D67" s="641">
        <v>54</v>
      </c>
      <c r="E67" s="255">
        <v>0.53</v>
      </c>
      <c r="F67" s="495">
        <f t="shared" si="0"/>
        <v>28.62</v>
      </c>
      <c r="G67" s="598"/>
    </row>
    <row r="68" spans="1:9" x14ac:dyDescent="0.2">
      <c r="A68" s="634" t="s">
        <v>1243</v>
      </c>
      <c r="B68" s="626" t="s">
        <v>1163</v>
      </c>
      <c r="C68" s="253" t="s">
        <v>77</v>
      </c>
      <c r="D68" s="641">
        <v>54</v>
      </c>
      <c r="E68" s="255">
        <v>0.5</v>
      </c>
      <c r="F68" s="495">
        <f t="shared" ref="F68:F121" si="1">ROUND((D68*E68),2)</f>
        <v>27</v>
      </c>
      <c r="G68" s="598"/>
    </row>
    <row r="69" spans="1:9" x14ac:dyDescent="0.2">
      <c r="A69" s="634" t="s">
        <v>1244</v>
      </c>
      <c r="B69" s="627" t="s">
        <v>1164</v>
      </c>
      <c r="C69" s="253" t="s">
        <v>77</v>
      </c>
      <c r="D69" s="641">
        <v>18</v>
      </c>
      <c r="E69" s="255">
        <v>0.35</v>
      </c>
      <c r="F69" s="495">
        <f t="shared" si="1"/>
        <v>6.3</v>
      </c>
      <c r="G69" s="238">
        <f>F60+F61+F62+F63+F64+F66+F67+F68+F69</f>
        <v>11669.400000000001</v>
      </c>
    </row>
    <row r="70" spans="1:9" ht="13.5" thickBot="1" x14ac:dyDescent="0.25">
      <c r="A70" s="614" t="s">
        <v>1245</v>
      </c>
      <c r="B70" s="628" t="s">
        <v>755</v>
      </c>
      <c r="C70" s="253" t="s">
        <v>194</v>
      </c>
      <c r="D70" s="638">
        <v>3390</v>
      </c>
      <c r="E70" s="255">
        <v>2.06</v>
      </c>
      <c r="F70" s="495">
        <f t="shared" si="1"/>
        <v>6983.4</v>
      </c>
      <c r="I70" s="110">
        <v>206864.70000000007</v>
      </c>
    </row>
    <row r="71" spans="1:9" ht="13.5" thickBot="1" x14ac:dyDescent="0.25">
      <c r="A71" s="634" t="s">
        <v>1246</v>
      </c>
      <c r="B71" s="617" t="s">
        <v>1174</v>
      </c>
      <c r="C71" s="253" t="s">
        <v>1190</v>
      </c>
      <c r="D71" s="641">
        <v>1.29</v>
      </c>
      <c r="E71" s="255">
        <v>385.08</v>
      </c>
      <c r="F71" s="495">
        <f t="shared" si="1"/>
        <v>496.75</v>
      </c>
      <c r="G71" s="486"/>
    </row>
    <row r="72" spans="1:9" ht="13.5" thickBot="1" x14ac:dyDescent="0.25">
      <c r="A72" s="634" t="s">
        <v>1247</v>
      </c>
      <c r="B72" s="617" t="s">
        <v>1175</v>
      </c>
      <c r="C72" s="253" t="s">
        <v>1190</v>
      </c>
      <c r="D72" s="641">
        <v>2.59</v>
      </c>
      <c r="E72" s="255">
        <v>407.35</v>
      </c>
      <c r="F72" s="495">
        <f t="shared" si="1"/>
        <v>1055.04</v>
      </c>
      <c r="G72" s="486"/>
    </row>
    <row r="73" spans="1:9" ht="13.5" customHeight="1" x14ac:dyDescent="0.2">
      <c r="A73" s="614" t="s">
        <v>1248</v>
      </c>
      <c r="B73" s="629" t="s">
        <v>1176</v>
      </c>
      <c r="C73" s="227" t="s">
        <v>77</v>
      </c>
      <c r="D73" s="642">
        <v>21</v>
      </c>
      <c r="E73" s="191">
        <v>19.91</v>
      </c>
      <c r="F73" s="495">
        <f t="shared" si="1"/>
        <v>418.11</v>
      </c>
    </row>
    <row r="74" spans="1:9" ht="13.5" customHeight="1" x14ac:dyDescent="0.2">
      <c r="A74" s="634" t="s">
        <v>1249</v>
      </c>
      <c r="B74" s="629" t="s">
        <v>1177</v>
      </c>
      <c r="C74" s="227" t="s">
        <v>77</v>
      </c>
      <c r="D74" s="642">
        <v>28</v>
      </c>
      <c r="E74" s="191">
        <v>14.7</v>
      </c>
      <c r="F74" s="495">
        <f t="shared" si="1"/>
        <v>411.6</v>
      </c>
    </row>
    <row r="75" spans="1:9" ht="13.5" customHeight="1" x14ac:dyDescent="0.2">
      <c r="A75" s="634" t="s">
        <v>1250</v>
      </c>
      <c r="B75" s="629" t="s">
        <v>1178</v>
      </c>
      <c r="C75" s="227" t="s">
        <v>77</v>
      </c>
      <c r="D75" s="642">
        <v>2</v>
      </c>
      <c r="E75" s="191">
        <v>22.99</v>
      </c>
      <c r="F75" s="495">
        <f t="shared" si="1"/>
        <v>45.98</v>
      </c>
    </row>
    <row r="76" spans="1:9" x14ac:dyDescent="0.2">
      <c r="A76" s="614" t="s">
        <v>1251</v>
      </c>
      <c r="B76" s="629" t="s">
        <v>1179</v>
      </c>
      <c r="C76" s="227" t="s">
        <v>77</v>
      </c>
      <c r="D76" s="642">
        <v>31</v>
      </c>
      <c r="E76" s="191">
        <v>26.93</v>
      </c>
      <c r="F76" s="495">
        <f t="shared" si="1"/>
        <v>834.83</v>
      </c>
    </row>
    <row r="77" spans="1:9" x14ac:dyDescent="0.2">
      <c r="A77" s="634" t="s">
        <v>1252</v>
      </c>
      <c r="B77" s="629" t="s">
        <v>1180</v>
      </c>
      <c r="C77" s="227" t="s">
        <v>77</v>
      </c>
      <c r="D77" s="642">
        <v>10</v>
      </c>
      <c r="E77" s="191">
        <v>24.89</v>
      </c>
      <c r="F77" s="495">
        <f t="shared" si="1"/>
        <v>248.9</v>
      </c>
    </row>
    <row r="78" spans="1:9" x14ac:dyDescent="0.2">
      <c r="A78" s="634" t="s">
        <v>1253</v>
      </c>
      <c r="B78" s="629" t="s">
        <v>1181</v>
      </c>
      <c r="C78" s="227" t="s">
        <v>77</v>
      </c>
      <c r="D78" s="642">
        <v>78</v>
      </c>
      <c r="E78" s="191">
        <v>34.68</v>
      </c>
      <c r="F78" s="495">
        <f t="shared" si="1"/>
        <v>2705.04</v>
      </c>
    </row>
    <row r="79" spans="1:9" s="238" customFormat="1" x14ac:dyDescent="0.2">
      <c r="A79" s="614" t="s">
        <v>1254</v>
      </c>
      <c r="B79" s="629" t="s">
        <v>1182</v>
      </c>
      <c r="C79" s="227" t="s">
        <v>77</v>
      </c>
      <c r="D79" s="642">
        <v>24</v>
      </c>
      <c r="E79" s="191">
        <v>10.43</v>
      </c>
      <c r="F79" s="495">
        <f t="shared" si="1"/>
        <v>250.32</v>
      </c>
    </row>
    <row r="80" spans="1:9" x14ac:dyDescent="0.2">
      <c r="A80" s="634" t="s">
        <v>1255</v>
      </c>
      <c r="B80" s="628" t="s">
        <v>1183</v>
      </c>
      <c r="C80" s="227" t="s">
        <v>77</v>
      </c>
      <c r="D80" s="642">
        <v>1</v>
      </c>
      <c r="E80" s="191">
        <v>22.68</v>
      </c>
      <c r="F80" s="495">
        <f t="shared" si="1"/>
        <v>22.68</v>
      </c>
    </row>
    <row r="81" spans="1:7" x14ac:dyDescent="0.2">
      <c r="A81" s="634" t="s">
        <v>1256</v>
      </c>
      <c r="B81" s="628" t="s">
        <v>1184</v>
      </c>
      <c r="C81" s="227" t="s">
        <v>77</v>
      </c>
      <c r="D81" s="642">
        <v>7</v>
      </c>
      <c r="E81" s="191">
        <v>17.309999999999999</v>
      </c>
      <c r="F81" s="495">
        <f t="shared" si="1"/>
        <v>121.17</v>
      </c>
    </row>
    <row r="82" spans="1:7" ht="13.5" thickBot="1" x14ac:dyDescent="0.25">
      <c r="A82" s="614" t="s">
        <v>1257</v>
      </c>
      <c r="B82" s="628" t="s">
        <v>1185</v>
      </c>
      <c r="C82" s="227" t="s">
        <v>77</v>
      </c>
      <c r="D82" s="642">
        <v>29</v>
      </c>
      <c r="E82" s="191">
        <v>17.52</v>
      </c>
      <c r="F82" s="495">
        <f t="shared" si="1"/>
        <v>508.08</v>
      </c>
    </row>
    <row r="83" spans="1:7" s="238" customFormat="1" ht="24.75" customHeight="1" thickBot="1" x14ac:dyDescent="0.25">
      <c r="A83" s="634" t="s">
        <v>1258</v>
      </c>
      <c r="B83" s="613" t="s">
        <v>1186</v>
      </c>
      <c r="C83" s="227" t="s">
        <v>77</v>
      </c>
      <c r="D83" s="643">
        <v>1</v>
      </c>
      <c r="E83" s="190">
        <v>21.71</v>
      </c>
      <c r="F83" s="495">
        <f t="shared" si="1"/>
        <v>21.71</v>
      </c>
      <c r="G83" s="486"/>
    </row>
    <row r="84" spans="1:7" s="238" customFormat="1" ht="13.5" thickBot="1" x14ac:dyDescent="0.25">
      <c r="A84" s="634" t="s">
        <v>1259</v>
      </c>
      <c r="B84" s="624" t="s">
        <v>1187</v>
      </c>
      <c r="C84" s="227" t="s">
        <v>77</v>
      </c>
      <c r="D84" s="644">
        <v>96</v>
      </c>
      <c r="E84" s="191">
        <v>20.07</v>
      </c>
      <c r="F84" s="495">
        <f t="shared" si="1"/>
        <v>1926.72</v>
      </c>
      <c r="G84" s="486"/>
    </row>
    <row r="85" spans="1:7" s="238" customFormat="1" ht="13.5" thickBot="1" x14ac:dyDescent="0.25">
      <c r="A85" s="614" t="s">
        <v>1260</v>
      </c>
      <c r="B85" s="630" t="s">
        <v>1188</v>
      </c>
      <c r="C85" s="227" t="s">
        <v>77</v>
      </c>
      <c r="D85" s="644">
        <v>18</v>
      </c>
      <c r="E85" s="191">
        <v>129.59</v>
      </c>
      <c r="F85" s="495">
        <f t="shared" si="1"/>
        <v>2332.62</v>
      </c>
      <c r="G85" s="486">
        <v>0</v>
      </c>
    </row>
    <row r="86" spans="1:7" ht="13.5" thickBot="1" x14ac:dyDescent="0.25">
      <c r="A86" s="634" t="s">
        <v>1261</v>
      </c>
      <c r="B86" s="631" t="str">
        <f>'BASE DE DATO MANO DE OBRA'!C119</f>
        <v xml:space="preserve">REPLANTEO (Urbano marginal, incluye planos fisicos y digitales) </v>
      </c>
      <c r="C86" s="227" t="s">
        <v>1190</v>
      </c>
      <c r="D86" s="637">
        <v>2.95</v>
      </c>
      <c r="E86" s="191">
        <v>158.4</v>
      </c>
      <c r="F86" s="495">
        <f t="shared" si="1"/>
        <v>467.28</v>
      </c>
      <c r="G86" s="486">
        <v>2.952</v>
      </c>
    </row>
    <row r="87" spans="1:7" ht="13.5" thickBot="1" x14ac:dyDescent="0.25">
      <c r="A87" s="634" t="s">
        <v>1262</v>
      </c>
      <c r="B87" s="631" t="s">
        <v>443</v>
      </c>
      <c r="C87" s="227" t="s">
        <v>77</v>
      </c>
      <c r="D87" s="645">
        <v>76</v>
      </c>
      <c r="E87" s="191">
        <v>30.57</v>
      </c>
      <c r="F87" s="495">
        <f t="shared" si="1"/>
        <v>2323.3200000000002</v>
      </c>
      <c r="G87" s="486">
        <v>0</v>
      </c>
    </row>
    <row r="88" spans="1:7" ht="13.5" thickBot="1" x14ac:dyDescent="0.25">
      <c r="A88" s="614" t="s">
        <v>1263</v>
      </c>
      <c r="B88" s="631" t="s">
        <v>1051</v>
      </c>
      <c r="C88" s="227" t="s">
        <v>1052</v>
      </c>
      <c r="D88" s="645">
        <v>74.8</v>
      </c>
      <c r="E88" s="191">
        <v>20.6</v>
      </c>
      <c r="F88" s="495">
        <f t="shared" si="1"/>
        <v>1540.88</v>
      </c>
      <c r="G88" s="486">
        <v>0</v>
      </c>
    </row>
    <row r="89" spans="1:7" ht="13.5" thickBot="1" x14ac:dyDescent="0.25">
      <c r="A89" s="634" t="s">
        <v>1264</v>
      </c>
      <c r="B89" s="631" t="s">
        <v>444</v>
      </c>
      <c r="C89" s="227" t="s">
        <v>77</v>
      </c>
      <c r="D89" s="645">
        <v>75</v>
      </c>
      <c r="E89" s="191">
        <v>33.659999999999997</v>
      </c>
      <c r="F89" s="495">
        <f t="shared" si="1"/>
        <v>2524.5</v>
      </c>
      <c r="G89" s="486">
        <v>0</v>
      </c>
    </row>
    <row r="90" spans="1:7" ht="23.25" thickBot="1" x14ac:dyDescent="0.25">
      <c r="A90" s="634" t="s">
        <v>1265</v>
      </c>
      <c r="B90" s="632" t="s">
        <v>1012</v>
      </c>
      <c r="C90" s="227" t="s">
        <v>77</v>
      </c>
      <c r="D90" s="645">
        <v>8</v>
      </c>
      <c r="E90" s="191">
        <v>77.03</v>
      </c>
      <c r="F90" s="495">
        <f t="shared" si="1"/>
        <v>616.24</v>
      </c>
      <c r="G90" s="486">
        <v>0</v>
      </c>
    </row>
    <row r="91" spans="1:7" s="238" customFormat="1" ht="13.5" thickBot="1" x14ac:dyDescent="0.25">
      <c r="A91" s="614" t="s">
        <v>1266</v>
      </c>
      <c r="B91" s="631" t="s">
        <v>393</v>
      </c>
      <c r="C91" s="227" t="s">
        <v>77</v>
      </c>
      <c r="D91" s="645">
        <v>37</v>
      </c>
      <c r="E91" s="191">
        <v>9.3699999999999992</v>
      </c>
      <c r="F91" s="495">
        <f t="shared" si="1"/>
        <v>346.69</v>
      </c>
      <c r="G91" s="486">
        <v>0</v>
      </c>
    </row>
    <row r="92" spans="1:7" ht="12.75" customHeight="1" thickBot="1" x14ac:dyDescent="0.25">
      <c r="A92" s="634" t="s">
        <v>1267</v>
      </c>
      <c r="B92" s="628" t="s">
        <v>755</v>
      </c>
      <c r="C92" s="227" t="s">
        <v>194</v>
      </c>
      <c r="D92" s="644">
        <v>3390</v>
      </c>
      <c r="E92" s="191">
        <v>0.18</v>
      </c>
      <c r="F92" s="495">
        <f t="shared" si="1"/>
        <v>610.20000000000005</v>
      </c>
      <c r="G92" s="486"/>
    </row>
    <row r="93" spans="1:7" ht="12.75" customHeight="1" x14ac:dyDescent="0.2">
      <c r="A93" s="634" t="s">
        <v>1268</v>
      </c>
      <c r="B93" s="628" t="s">
        <v>1034</v>
      </c>
      <c r="C93" s="227" t="s">
        <v>77</v>
      </c>
      <c r="D93" s="642">
        <v>300</v>
      </c>
      <c r="E93" s="191">
        <v>14.02</v>
      </c>
      <c r="F93" s="495">
        <f t="shared" si="1"/>
        <v>4206</v>
      </c>
    </row>
    <row r="94" spans="1:7" ht="13.5" thickBot="1" x14ac:dyDescent="0.25">
      <c r="A94" s="614" t="s">
        <v>1269</v>
      </c>
      <c r="B94" s="648" t="s">
        <v>1099</v>
      </c>
      <c r="C94" s="227" t="s">
        <v>77</v>
      </c>
      <c r="D94" s="642">
        <v>39</v>
      </c>
      <c r="E94" s="191">
        <v>9.4499999999999993</v>
      </c>
      <c r="F94" s="495">
        <f t="shared" si="1"/>
        <v>368.55</v>
      </c>
    </row>
    <row r="95" spans="1:7" ht="13.5" thickBot="1" x14ac:dyDescent="0.25">
      <c r="A95" s="634" t="s">
        <v>1270</v>
      </c>
      <c r="B95" s="650" t="s">
        <v>437</v>
      </c>
      <c r="C95" s="647" t="s">
        <v>77</v>
      </c>
      <c r="D95" s="644">
        <v>339</v>
      </c>
      <c r="E95" s="20">
        <v>1.6</v>
      </c>
      <c r="F95" s="495">
        <f t="shared" si="1"/>
        <v>542.4</v>
      </c>
      <c r="G95" s="486"/>
    </row>
    <row r="96" spans="1:7" s="238" customFormat="1" ht="13.5" thickBot="1" x14ac:dyDescent="0.25">
      <c r="A96" s="634" t="s">
        <v>1271</v>
      </c>
      <c r="B96" s="650" t="s">
        <v>918</v>
      </c>
      <c r="C96" s="647" t="s">
        <v>77</v>
      </c>
      <c r="D96" s="644">
        <v>339</v>
      </c>
      <c r="E96" s="20">
        <v>3</v>
      </c>
      <c r="F96" s="495">
        <f t="shared" si="1"/>
        <v>1017</v>
      </c>
      <c r="G96" s="486"/>
    </row>
    <row r="97" spans="1:252" s="238" customFormat="1" x14ac:dyDescent="0.2">
      <c r="A97" s="614" t="s">
        <v>1272</v>
      </c>
      <c r="B97" s="651" t="s">
        <v>1165</v>
      </c>
      <c r="C97" s="647" t="s">
        <v>77</v>
      </c>
      <c r="D97" s="644">
        <v>18</v>
      </c>
      <c r="E97" s="20">
        <v>25.299999999999997</v>
      </c>
      <c r="F97" s="495">
        <f t="shared" si="1"/>
        <v>455.4</v>
      </c>
      <c r="G97" s="598"/>
    </row>
    <row r="98" spans="1:252" s="238" customFormat="1" x14ac:dyDescent="0.2">
      <c r="A98" s="634" t="s">
        <v>1194</v>
      </c>
      <c r="B98" s="651" t="s">
        <v>1166</v>
      </c>
      <c r="C98" s="647" t="s">
        <v>77</v>
      </c>
      <c r="D98" s="644">
        <v>18</v>
      </c>
      <c r="E98" s="20">
        <v>6.8999999999999995</v>
      </c>
      <c r="F98" s="495">
        <f t="shared" si="1"/>
        <v>124.2</v>
      </c>
      <c r="G98" s="598"/>
    </row>
    <row r="99" spans="1:252" s="238" customFormat="1" x14ac:dyDescent="0.2">
      <c r="A99" s="634" t="s">
        <v>1273</v>
      </c>
      <c r="B99" s="651" t="s">
        <v>1167</v>
      </c>
      <c r="C99" s="647" t="s">
        <v>77</v>
      </c>
      <c r="D99" s="644">
        <v>18</v>
      </c>
      <c r="E99" s="20">
        <v>28.749999999999996</v>
      </c>
      <c r="F99" s="495">
        <f t="shared" si="1"/>
        <v>517.5</v>
      </c>
      <c r="G99" s="598"/>
    </row>
    <row r="100" spans="1:252" s="238" customFormat="1" x14ac:dyDescent="0.2">
      <c r="A100" s="614" t="s">
        <v>1274</v>
      </c>
      <c r="B100" s="651" t="s">
        <v>1168</v>
      </c>
      <c r="C100" s="647" t="s">
        <v>77</v>
      </c>
      <c r="D100" s="644">
        <v>18</v>
      </c>
      <c r="E100" s="20">
        <v>6.8999999999999995</v>
      </c>
      <c r="F100" s="495">
        <f t="shared" si="1"/>
        <v>124.2</v>
      </c>
      <c r="G100" s="598"/>
    </row>
    <row r="101" spans="1:252" s="238" customFormat="1" x14ac:dyDescent="0.2">
      <c r="A101" s="634" t="s">
        <v>1275</v>
      </c>
      <c r="B101" s="651" t="s">
        <v>1169</v>
      </c>
      <c r="C101" s="647" t="s">
        <v>77</v>
      </c>
      <c r="D101" s="644">
        <v>18</v>
      </c>
      <c r="E101" s="20">
        <v>4.5999999999999996</v>
      </c>
      <c r="F101" s="495">
        <f t="shared" si="1"/>
        <v>82.8</v>
      </c>
      <c r="G101" s="598"/>
    </row>
    <row r="102" spans="1:252" s="238" customFormat="1" x14ac:dyDescent="0.2">
      <c r="A102" s="634" t="s">
        <v>1276</v>
      </c>
      <c r="B102" s="652" t="s">
        <v>1170</v>
      </c>
      <c r="C102" s="647" t="s">
        <v>77</v>
      </c>
      <c r="D102" s="644">
        <v>18</v>
      </c>
      <c r="E102" s="20">
        <v>13.799999999999999</v>
      </c>
      <c r="F102" s="495">
        <f t="shared" si="1"/>
        <v>248.4</v>
      </c>
      <c r="G102" s="598"/>
    </row>
    <row r="103" spans="1:252" s="238" customFormat="1" x14ac:dyDescent="0.2">
      <c r="A103" s="614" t="s">
        <v>1277</v>
      </c>
      <c r="B103" s="653" t="s">
        <v>1171</v>
      </c>
      <c r="C103" s="647" t="s">
        <v>77</v>
      </c>
      <c r="D103" s="644">
        <v>18</v>
      </c>
      <c r="E103" s="20">
        <v>16.100000000000001</v>
      </c>
      <c r="F103" s="495">
        <f t="shared" si="1"/>
        <v>289.8</v>
      </c>
      <c r="G103" s="606">
        <f>F97+F98+F99+F101+F100+F101+F102+F103</f>
        <v>1925.1</v>
      </c>
    </row>
    <row r="104" spans="1:252" x14ac:dyDescent="0.2">
      <c r="A104" s="634" t="s">
        <v>1278</v>
      </c>
      <c r="B104" s="654" t="s">
        <v>1297</v>
      </c>
      <c r="C104" s="647" t="s">
        <v>77</v>
      </c>
      <c r="D104" s="642">
        <v>80</v>
      </c>
      <c r="E104" s="191">
        <v>20.440000000000001</v>
      </c>
      <c r="F104" s="495">
        <f t="shared" si="1"/>
        <v>1635.2</v>
      </c>
    </row>
    <row r="105" spans="1:252" s="25" customFormat="1" x14ac:dyDescent="0.2">
      <c r="A105" s="634" t="s">
        <v>1279</v>
      </c>
      <c r="B105" s="654" t="s">
        <v>152</v>
      </c>
      <c r="C105" s="647" t="s">
        <v>77</v>
      </c>
      <c r="D105" s="642">
        <v>2</v>
      </c>
      <c r="E105" s="191">
        <v>108.68</v>
      </c>
      <c r="F105" s="495">
        <f t="shared" si="1"/>
        <v>217.36</v>
      </c>
      <c r="G105" s="110"/>
      <c r="H105" s="110"/>
      <c r="HN105" s="25" t="s">
        <v>66</v>
      </c>
      <c r="HO105" s="25" t="s">
        <v>66</v>
      </c>
      <c r="HP105" s="25" t="s">
        <v>66</v>
      </c>
      <c r="HQ105" s="25" t="s">
        <v>66</v>
      </c>
      <c r="HR105" s="25" t="s">
        <v>66</v>
      </c>
      <c r="HS105" s="25" t="s">
        <v>66</v>
      </c>
      <c r="HT105" s="25" t="s">
        <v>66</v>
      </c>
      <c r="HU105" s="25" t="s">
        <v>66</v>
      </c>
      <c r="HV105" s="25" t="s">
        <v>66</v>
      </c>
      <c r="HW105" s="25" t="s">
        <v>66</v>
      </c>
      <c r="HX105" s="25" t="s">
        <v>66</v>
      </c>
      <c r="HY105" s="25" t="s">
        <v>66</v>
      </c>
      <c r="HZ105" s="25" t="s">
        <v>66</v>
      </c>
      <c r="IA105" s="25" t="s">
        <v>66</v>
      </c>
      <c r="IB105" s="25" t="s">
        <v>66</v>
      </c>
      <c r="IC105" s="25" t="s">
        <v>66</v>
      </c>
      <c r="ID105" s="25" t="s">
        <v>66</v>
      </c>
      <c r="IE105" s="25" t="s">
        <v>66</v>
      </c>
      <c r="IF105" s="25" t="s">
        <v>66</v>
      </c>
      <c r="IG105" s="25" t="s">
        <v>66</v>
      </c>
      <c r="IH105" s="25" t="s">
        <v>66</v>
      </c>
      <c r="II105" s="25" t="s">
        <v>66</v>
      </c>
      <c r="IJ105" s="25" t="s">
        <v>66</v>
      </c>
      <c r="IK105" s="25" t="s">
        <v>66</v>
      </c>
      <c r="IL105" s="25" t="s">
        <v>66</v>
      </c>
      <c r="IM105" s="25" t="s">
        <v>66</v>
      </c>
      <c r="IN105" s="25" t="s">
        <v>66</v>
      </c>
      <c r="IO105" s="25" t="s">
        <v>66</v>
      </c>
      <c r="IP105" s="25" t="s">
        <v>66</v>
      </c>
      <c r="IQ105" s="25" t="s">
        <v>66</v>
      </c>
      <c r="IR105" s="25" t="s">
        <v>66</v>
      </c>
    </row>
    <row r="106" spans="1:252" s="25" customFormat="1" x14ac:dyDescent="0.2">
      <c r="A106" s="614" t="s">
        <v>1280</v>
      </c>
      <c r="B106" s="650" t="s">
        <v>434</v>
      </c>
      <c r="C106" s="647" t="s">
        <v>77</v>
      </c>
      <c r="D106" s="642">
        <v>3</v>
      </c>
      <c r="E106" s="191">
        <v>65.03</v>
      </c>
      <c r="F106" s="495">
        <f t="shared" si="1"/>
        <v>195.09</v>
      </c>
      <c r="G106" s="110"/>
      <c r="H106" s="110"/>
      <c r="HN106" s="25" t="s">
        <v>67</v>
      </c>
      <c r="HO106" s="25" t="s">
        <v>67</v>
      </c>
      <c r="HP106" s="25" t="s">
        <v>67</v>
      </c>
      <c r="HQ106" s="25" t="s">
        <v>67</v>
      </c>
      <c r="HR106" s="25" t="s">
        <v>67</v>
      </c>
      <c r="HS106" s="25" t="s">
        <v>67</v>
      </c>
      <c r="HT106" s="25" t="s">
        <v>67</v>
      </c>
      <c r="HU106" s="25" t="s">
        <v>67</v>
      </c>
      <c r="HV106" s="25" t="s">
        <v>67</v>
      </c>
      <c r="HW106" s="25" t="s">
        <v>67</v>
      </c>
      <c r="HX106" s="25" t="s">
        <v>67</v>
      </c>
      <c r="HY106" s="25" t="s">
        <v>67</v>
      </c>
      <c r="HZ106" s="25" t="s">
        <v>67</v>
      </c>
      <c r="IA106" s="25" t="s">
        <v>67</v>
      </c>
      <c r="IB106" s="25" t="s">
        <v>67</v>
      </c>
      <c r="IC106" s="25" t="s">
        <v>67</v>
      </c>
      <c r="ID106" s="25" t="s">
        <v>67</v>
      </c>
      <c r="IE106" s="25" t="s">
        <v>67</v>
      </c>
      <c r="IF106" s="25" t="s">
        <v>67</v>
      </c>
      <c r="IG106" s="25" t="s">
        <v>67</v>
      </c>
      <c r="IH106" s="25" t="s">
        <v>67</v>
      </c>
      <c r="II106" s="25" t="s">
        <v>67</v>
      </c>
      <c r="IJ106" s="25" t="s">
        <v>67</v>
      </c>
      <c r="IK106" s="25" t="s">
        <v>67</v>
      </c>
      <c r="IL106" s="25" t="s">
        <v>67</v>
      </c>
      <c r="IM106" s="25" t="s">
        <v>67</v>
      </c>
      <c r="IN106" s="25" t="s">
        <v>67</v>
      </c>
      <c r="IO106" s="25" t="s">
        <v>67</v>
      </c>
      <c r="IP106" s="25" t="s">
        <v>67</v>
      </c>
      <c r="IQ106" s="25" t="s">
        <v>67</v>
      </c>
      <c r="IR106" s="25" t="s">
        <v>67</v>
      </c>
    </row>
    <row r="107" spans="1:252" x14ac:dyDescent="0.2">
      <c r="A107" s="634" t="s">
        <v>1281</v>
      </c>
      <c r="B107" s="617" t="s">
        <v>155</v>
      </c>
      <c r="C107" s="647" t="s">
        <v>1190</v>
      </c>
      <c r="D107" s="642">
        <v>1</v>
      </c>
      <c r="E107" s="191">
        <v>161.96</v>
      </c>
      <c r="F107" s="495">
        <f t="shared" si="1"/>
        <v>161.96</v>
      </c>
      <c r="G107" s="25"/>
    </row>
    <row r="108" spans="1:252" x14ac:dyDescent="0.2">
      <c r="A108" s="634" t="s">
        <v>1282</v>
      </c>
      <c r="B108" s="650" t="s">
        <v>756</v>
      </c>
      <c r="C108" s="647" t="s">
        <v>77</v>
      </c>
      <c r="D108" s="642">
        <v>10</v>
      </c>
      <c r="E108" s="191">
        <v>9.48</v>
      </c>
      <c r="F108" s="495">
        <f t="shared" si="1"/>
        <v>94.8</v>
      </c>
    </row>
    <row r="109" spans="1:252" x14ac:dyDescent="0.2">
      <c r="A109" s="614" t="s">
        <v>1283</v>
      </c>
      <c r="B109" s="650" t="s">
        <v>757</v>
      </c>
      <c r="C109" s="647" t="s">
        <v>77</v>
      </c>
      <c r="D109" s="642">
        <v>6</v>
      </c>
      <c r="E109" s="191">
        <v>10.69</v>
      </c>
      <c r="F109" s="495">
        <f t="shared" si="1"/>
        <v>64.14</v>
      </c>
    </row>
    <row r="110" spans="1:252" x14ac:dyDescent="0.2">
      <c r="A110" s="634" t="s">
        <v>1198</v>
      </c>
      <c r="B110" s="650" t="s">
        <v>758</v>
      </c>
      <c r="C110" s="647" t="s">
        <v>77</v>
      </c>
      <c r="D110" s="642">
        <v>8</v>
      </c>
      <c r="E110" s="191">
        <v>12.83</v>
      </c>
      <c r="F110" s="495">
        <f t="shared" si="1"/>
        <v>102.64</v>
      </c>
    </row>
    <row r="111" spans="1:252" x14ac:dyDescent="0.2">
      <c r="A111" s="634" t="s">
        <v>1284</v>
      </c>
      <c r="B111" s="649" t="s">
        <v>759</v>
      </c>
      <c r="C111" s="227" t="s">
        <v>77</v>
      </c>
      <c r="D111" s="642">
        <v>1</v>
      </c>
      <c r="E111" s="191">
        <v>12.22</v>
      </c>
      <c r="F111" s="495">
        <f t="shared" si="1"/>
        <v>12.22</v>
      </c>
    </row>
    <row r="112" spans="1:252" x14ac:dyDescent="0.2">
      <c r="A112" s="614" t="s">
        <v>1285</v>
      </c>
      <c r="B112" s="624" t="s">
        <v>771</v>
      </c>
      <c r="C112" s="227" t="s">
        <v>77</v>
      </c>
      <c r="D112" s="642">
        <v>30</v>
      </c>
      <c r="E112" s="191">
        <v>12.52</v>
      </c>
      <c r="F112" s="495">
        <f t="shared" si="1"/>
        <v>375.6</v>
      </c>
    </row>
    <row r="113" spans="1:13" x14ac:dyDescent="0.2">
      <c r="A113" s="634" t="s">
        <v>1286</v>
      </c>
      <c r="B113" s="624" t="s">
        <v>184</v>
      </c>
      <c r="C113" s="227" t="s">
        <v>77</v>
      </c>
      <c r="D113" s="642">
        <v>10</v>
      </c>
      <c r="E113" s="191">
        <v>17.829999999999998</v>
      </c>
      <c r="F113" s="495">
        <f t="shared" si="1"/>
        <v>178.3</v>
      </c>
    </row>
    <row r="114" spans="1:13" x14ac:dyDescent="0.2">
      <c r="A114" s="634" t="s">
        <v>1287</v>
      </c>
      <c r="B114" s="624" t="s">
        <v>185</v>
      </c>
      <c r="C114" s="227" t="s">
        <v>77</v>
      </c>
      <c r="D114" s="642">
        <v>3</v>
      </c>
      <c r="E114" s="191">
        <v>19.29</v>
      </c>
      <c r="F114" s="495">
        <f t="shared" si="1"/>
        <v>57.87</v>
      </c>
    </row>
    <row r="115" spans="1:13" x14ac:dyDescent="0.2">
      <c r="A115" s="614" t="s">
        <v>1288</v>
      </c>
      <c r="B115" s="624" t="s">
        <v>186</v>
      </c>
      <c r="C115" s="227" t="s">
        <v>77</v>
      </c>
      <c r="D115" s="642">
        <v>1</v>
      </c>
      <c r="E115" s="191">
        <v>7.71</v>
      </c>
      <c r="F115" s="495">
        <f t="shared" si="1"/>
        <v>7.71</v>
      </c>
    </row>
    <row r="116" spans="1:13" ht="12.75" customHeight="1" thickBot="1" x14ac:dyDescent="0.25">
      <c r="A116" s="634" t="s">
        <v>1289</v>
      </c>
      <c r="B116" s="624" t="s">
        <v>187</v>
      </c>
      <c r="C116" s="227" t="s">
        <v>77</v>
      </c>
      <c r="D116" s="642">
        <v>1</v>
      </c>
      <c r="E116" s="191">
        <v>10</v>
      </c>
      <c r="F116" s="495">
        <f t="shared" si="1"/>
        <v>10</v>
      </c>
      <c r="I116" s="110">
        <v>37079.400000000009</v>
      </c>
    </row>
    <row r="117" spans="1:13" ht="12" customHeight="1" thickBot="1" x14ac:dyDescent="0.25">
      <c r="A117" s="634" t="s">
        <v>1290</v>
      </c>
      <c r="B117" s="631" t="s">
        <v>145</v>
      </c>
      <c r="C117" s="253" t="s">
        <v>77</v>
      </c>
      <c r="D117" s="646">
        <v>59</v>
      </c>
      <c r="E117" s="292">
        <v>26.91</v>
      </c>
      <c r="F117" s="495">
        <f t="shared" si="1"/>
        <v>1587.69</v>
      </c>
      <c r="G117" s="487"/>
    </row>
    <row r="118" spans="1:13" ht="12" customHeight="1" thickBot="1" x14ac:dyDescent="0.25">
      <c r="A118" s="614" t="s">
        <v>1291</v>
      </c>
      <c r="B118" s="633" t="s">
        <v>1013</v>
      </c>
      <c r="C118" s="253" t="s">
        <v>77</v>
      </c>
      <c r="D118" s="641">
        <v>6</v>
      </c>
      <c r="E118" s="292">
        <v>21.53</v>
      </c>
      <c r="F118" s="495">
        <f t="shared" si="1"/>
        <v>129.18</v>
      </c>
      <c r="G118" s="487"/>
    </row>
    <row r="119" spans="1:13" ht="12.75" customHeight="1" thickBot="1" x14ac:dyDescent="0.25">
      <c r="A119" s="634" t="s">
        <v>1292</v>
      </c>
      <c r="B119" s="631" t="s">
        <v>843</v>
      </c>
      <c r="C119" s="253" t="s">
        <v>1190</v>
      </c>
      <c r="D119" s="641">
        <v>11.28</v>
      </c>
      <c r="E119" s="292">
        <v>1.29</v>
      </c>
      <c r="F119" s="495">
        <f t="shared" si="1"/>
        <v>14.55</v>
      </c>
      <c r="G119" s="487"/>
      <c r="K119" s="110" t="s">
        <v>1189</v>
      </c>
    </row>
    <row r="120" spans="1:13" ht="12.75" customHeight="1" thickBot="1" x14ac:dyDescent="0.25">
      <c r="A120" s="634" t="s">
        <v>1293</v>
      </c>
      <c r="B120" s="631" t="s">
        <v>988</v>
      </c>
      <c r="C120" s="253" t="s">
        <v>1190</v>
      </c>
      <c r="D120" s="641">
        <v>1</v>
      </c>
      <c r="E120" s="292">
        <v>3462.79</v>
      </c>
      <c r="F120" s="495">
        <f t="shared" si="1"/>
        <v>3462.79</v>
      </c>
      <c r="G120" s="487"/>
      <c r="K120" s="110">
        <v>24823.759999999998</v>
      </c>
    </row>
    <row r="121" spans="1:13" ht="12.75" customHeight="1" thickBot="1" x14ac:dyDescent="0.25">
      <c r="A121" s="614" t="s">
        <v>1294</v>
      </c>
      <c r="B121" s="631" t="s">
        <v>1097</v>
      </c>
      <c r="C121" s="253" t="s">
        <v>1190</v>
      </c>
      <c r="D121" s="641">
        <v>1</v>
      </c>
      <c r="E121" s="292">
        <v>173.14</v>
      </c>
      <c r="F121" s="495">
        <f t="shared" si="1"/>
        <v>173.14</v>
      </c>
      <c r="G121" s="487"/>
      <c r="I121" s="110">
        <v>7476.25</v>
      </c>
      <c r="K121" s="110">
        <v>4449.53</v>
      </c>
      <c r="L121" s="110">
        <v>897.15</v>
      </c>
      <c r="M121" s="110">
        <f>L121+K121+K120</f>
        <v>30170.44</v>
      </c>
    </row>
    <row r="122" spans="1:13" ht="18.75" x14ac:dyDescent="0.2">
      <c r="A122" s="222"/>
      <c r="B122" s="222"/>
      <c r="C122" s="222"/>
      <c r="D122" s="222"/>
      <c r="E122" s="222"/>
      <c r="F122" s="655">
        <f>SUM(F3:F121)</f>
        <v>243149.85000000003</v>
      </c>
      <c r="I122" s="110">
        <v>206864.70000000007</v>
      </c>
      <c r="J122" s="110" t="s">
        <v>1191</v>
      </c>
    </row>
    <row r="123" spans="1:13" x14ac:dyDescent="0.2">
      <c r="A123" s="6"/>
      <c r="B123" s="6"/>
      <c r="F123" s="489"/>
    </row>
    <row r="124" spans="1:13" ht="57" customHeight="1" x14ac:dyDescent="0.2">
      <c r="A124" s="6"/>
      <c r="B124" s="112"/>
      <c r="C124" s="657"/>
      <c r="D124" s="656"/>
      <c r="E124" s="658"/>
      <c r="F124" s="659"/>
    </row>
    <row r="125" spans="1:13" ht="48" customHeight="1" x14ac:dyDescent="0.2">
      <c r="A125" s="612"/>
      <c r="B125" s="636" t="s">
        <v>1295</v>
      </c>
      <c r="C125" s="656"/>
      <c r="D125" s="761"/>
      <c r="E125" s="761"/>
      <c r="F125" s="761"/>
      <c r="H125" s="110" t="s">
        <v>787</v>
      </c>
    </row>
    <row r="126" spans="1:13" ht="17.25" customHeight="1" thickBot="1" x14ac:dyDescent="0.25">
      <c r="A126" s="612"/>
      <c r="B126" s="112"/>
      <c r="C126" s="635"/>
      <c r="D126" s="110"/>
      <c r="E126" s="635"/>
      <c r="F126" s="528"/>
      <c r="H126" s="110" t="s">
        <v>788</v>
      </c>
    </row>
  </sheetData>
  <mergeCells count="3">
    <mergeCell ref="A2:B2"/>
    <mergeCell ref="A1:F1"/>
    <mergeCell ref="D125:F125"/>
  </mergeCells>
  <printOptions horizontalCentered="1"/>
  <pageMargins left="0.51181102362204722" right="0.51181102362204722" top="0.39370078740157483" bottom="0.55118110236220474" header="0.51181102362204722" footer="0.51181102362204722"/>
  <pageSetup paperSize="9" scale="53" firstPageNumber="0" fitToHeight="3" orientation="portrait" horizontalDpi="300" verticalDpi="300" r:id="rId1"/>
  <headerFooter alignWithMargins="0"/>
  <ignoredErrors>
    <ignoredError sqref="A4:A12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66"/>
  <sheetViews>
    <sheetView topLeftCell="A37" zoomScale="70" zoomScaleNormal="70" workbookViewId="0">
      <selection activeCell="H63" sqref="H63"/>
    </sheetView>
  </sheetViews>
  <sheetFormatPr baseColWidth="10" defaultColWidth="11.42578125" defaultRowHeight="15" x14ac:dyDescent="0.25"/>
  <cols>
    <col min="1" max="1" width="18.5703125" style="168" customWidth="1"/>
    <col min="2" max="2" width="21" style="168" customWidth="1"/>
    <col min="3" max="3" width="18" style="168" customWidth="1"/>
    <col min="4" max="4" width="82.140625" style="168" customWidth="1"/>
    <col min="5" max="5" width="14.140625" style="168" customWidth="1"/>
    <col min="6" max="6" width="14.140625" style="300" customWidth="1"/>
    <col min="7" max="8" width="18" style="300" customWidth="1"/>
    <col min="9" max="9" width="24.28515625" style="168" customWidth="1"/>
    <col min="10" max="16384" width="11.42578125" style="168"/>
  </cols>
  <sheetData>
    <row r="3" spans="1:9" s="182" customFormat="1" ht="18.75" x14ac:dyDescent="0.3">
      <c r="A3" s="182" t="s">
        <v>451</v>
      </c>
      <c r="B3" s="182" t="s">
        <v>446</v>
      </c>
      <c r="C3" s="182" t="s">
        <v>447</v>
      </c>
      <c r="D3" s="182" t="s">
        <v>379</v>
      </c>
      <c r="E3" s="182" t="s">
        <v>53</v>
      </c>
      <c r="F3" s="299" t="s">
        <v>54</v>
      </c>
      <c r="G3" s="299" t="s">
        <v>445</v>
      </c>
      <c r="H3" s="299" t="s">
        <v>838</v>
      </c>
      <c r="I3" s="182" t="s">
        <v>485</v>
      </c>
    </row>
    <row r="4" spans="1:9" x14ac:dyDescent="0.25">
      <c r="A4" s="168" t="s">
        <v>379</v>
      </c>
      <c r="B4" s="168" t="s">
        <v>450</v>
      </c>
      <c r="C4" s="173" t="s">
        <v>472</v>
      </c>
      <c r="D4" s="168" t="s">
        <v>126</v>
      </c>
      <c r="E4" s="168" t="s">
        <v>77</v>
      </c>
      <c r="F4" s="300">
        <f>'MODELO DE PRESUPUESTO'!F47</f>
        <v>0</v>
      </c>
      <c r="G4" s="395">
        <f>'MODELO DE PRESUPUESTO'!G47</f>
        <v>133.97999999999999</v>
      </c>
      <c r="H4" s="300">
        <f t="shared" ref="H4:H37" si="0">ROUND((F4*G4),2)</f>
        <v>0</v>
      </c>
    </row>
    <row r="5" spans="1:9" x14ac:dyDescent="0.25">
      <c r="A5" s="168" t="s">
        <v>379</v>
      </c>
      <c r="B5" s="168" t="s">
        <v>450</v>
      </c>
      <c r="C5" s="174" t="s">
        <v>473</v>
      </c>
      <c r="D5" s="168" t="s">
        <v>127</v>
      </c>
      <c r="E5" s="168" t="s">
        <v>77</v>
      </c>
      <c r="F5" s="300">
        <f>'MODELO DE PRESUPUESTO'!F48</f>
        <v>96</v>
      </c>
      <c r="G5" s="395">
        <f>'MODELO DE PRESUPUESTO'!G48</f>
        <v>156.85</v>
      </c>
      <c r="H5" s="300">
        <f t="shared" si="0"/>
        <v>15057.6</v>
      </c>
    </row>
    <row r="6" spans="1:9" x14ac:dyDescent="0.25">
      <c r="A6" s="168" t="s">
        <v>379</v>
      </c>
      <c r="B6" s="168" t="s">
        <v>448</v>
      </c>
      <c r="C6" s="169" t="s">
        <v>965</v>
      </c>
      <c r="D6" s="168" t="s">
        <v>62</v>
      </c>
      <c r="E6" s="168" t="s">
        <v>61</v>
      </c>
      <c r="F6" s="300">
        <f>'MODELO DE PRESUPUESTO'!F12</f>
        <v>1.32</v>
      </c>
      <c r="G6" s="395">
        <f>'MODELO DE PRESUPUESTO'!G12</f>
        <v>720</v>
      </c>
      <c r="H6" s="300">
        <f t="shared" si="0"/>
        <v>950.4</v>
      </c>
    </row>
    <row r="7" spans="1:9" x14ac:dyDescent="0.25">
      <c r="A7" s="168" t="s">
        <v>379</v>
      </c>
      <c r="B7" s="168" t="s">
        <v>448</v>
      </c>
      <c r="C7" s="169" t="s">
        <v>966</v>
      </c>
      <c r="D7" s="168" t="s">
        <v>63</v>
      </c>
      <c r="E7" s="168" t="s">
        <v>61</v>
      </c>
      <c r="F7" s="300">
        <f>'MODELO DE PRESUPUESTO'!F13</f>
        <v>0</v>
      </c>
      <c r="G7" s="395">
        <f>'MODELO DE PRESUPUESTO'!G13</f>
        <v>1040</v>
      </c>
      <c r="H7" s="300">
        <f t="shared" si="0"/>
        <v>0</v>
      </c>
    </row>
    <row r="8" spans="1:9" x14ac:dyDescent="0.25">
      <c r="A8" s="168" t="s">
        <v>379</v>
      </c>
      <c r="B8" s="168" t="s">
        <v>448</v>
      </c>
      <c r="C8" s="169" t="s">
        <v>1090</v>
      </c>
      <c r="D8" s="168" t="s">
        <v>64</v>
      </c>
      <c r="E8" s="168" t="s">
        <v>61</v>
      </c>
      <c r="F8" s="300">
        <f>'MODELO DE PRESUPUESTO'!F14</f>
        <v>0</v>
      </c>
      <c r="G8" s="395">
        <f>'MODELO DE PRESUPUESTO'!G14</f>
        <v>1340</v>
      </c>
      <c r="H8" s="300">
        <f t="shared" si="0"/>
        <v>0</v>
      </c>
    </row>
    <row r="9" spans="1:9" x14ac:dyDescent="0.25">
      <c r="A9" s="168" t="s">
        <v>379</v>
      </c>
      <c r="B9" s="168" t="s">
        <v>448</v>
      </c>
      <c r="C9" s="169" t="s">
        <v>1091</v>
      </c>
      <c r="D9" s="168" t="s">
        <v>65</v>
      </c>
      <c r="E9" s="168" t="s">
        <v>61</v>
      </c>
      <c r="F9" s="300">
        <f>'MODELO DE PRESUPUESTO'!F15</f>
        <v>0</v>
      </c>
      <c r="G9" s="395">
        <f>'MODELO DE PRESUPUESTO'!G15</f>
        <v>1740</v>
      </c>
      <c r="H9" s="300">
        <f t="shared" si="0"/>
        <v>0</v>
      </c>
    </row>
    <row r="10" spans="1:9" x14ac:dyDescent="0.25">
      <c r="A10" s="168" t="s">
        <v>379</v>
      </c>
      <c r="B10" s="168" t="s">
        <v>448</v>
      </c>
      <c r="C10" s="169" t="s">
        <v>456</v>
      </c>
      <c r="D10" s="168" t="s">
        <v>439</v>
      </c>
      <c r="E10" s="168" t="s">
        <v>77</v>
      </c>
      <c r="F10" s="300">
        <f>'MODELO DE PRESUPUESTO'!F22</f>
        <v>7</v>
      </c>
      <c r="G10" s="395">
        <f>'MODELO DE PRESUPUESTO'!G22</f>
        <v>287.85000000000002</v>
      </c>
      <c r="H10" s="300">
        <f t="shared" si="0"/>
        <v>2014.95</v>
      </c>
    </row>
    <row r="11" spans="1:9" x14ac:dyDescent="0.25">
      <c r="A11" s="168" t="s">
        <v>379</v>
      </c>
      <c r="B11" s="168" t="s">
        <v>448</v>
      </c>
      <c r="C11" s="169" t="s">
        <v>1023</v>
      </c>
      <c r="D11" s="168" t="s">
        <v>1022</v>
      </c>
      <c r="E11" s="168" t="s">
        <v>77</v>
      </c>
      <c r="F11" s="300">
        <f>'MODELO DE PRESUPUESTO'!F23</f>
        <v>26</v>
      </c>
      <c r="G11" s="395">
        <f>'BASE DATOS MATERIALES'!D57</f>
        <v>955.23</v>
      </c>
      <c r="H11" s="300">
        <f t="shared" si="0"/>
        <v>24835.98</v>
      </c>
    </row>
    <row r="12" spans="1:9" ht="12.75" customHeight="1" x14ac:dyDescent="0.25">
      <c r="A12" s="168" t="s">
        <v>379</v>
      </c>
      <c r="B12" s="168" t="s">
        <v>448</v>
      </c>
      <c r="C12" s="169" t="s">
        <v>852</v>
      </c>
      <c r="D12" s="168" t="str">
        <f>'MODELO DE PRESUPUESTO'!C24</f>
        <v>POSTE HORMIGON ARMADO CIRCULAR 14 M X 500 KG</v>
      </c>
      <c r="E12" s="168" t="s">
        <v>77</v>
      </c>
      <c r="F12" s="300">
        <f>'MODELO DE PRESUPUESTO'!F24</f>
        <v>0</v>
      </c>
      <c r="G12" s="395">
        <f>'MODELO DE PRESUPUESTO'!G24</f>
        <v>410.7</v>
      </c>
      <c r="H12" s="300">
        <f t="shared" si="0"/>
        <v>0</v>
      </c>
    </row>
    <row r="13" spans="1:9" ht="12.75" customHeight="1" x14ac:dyDescent="0.25">
      <c r="A13" s="168" t="s">
        <v>379</v>
      </c>
      <c r="B13" s="168" t="s">
        <v>448</v>
      </c>
      <c r="C13" s="169" t="s">
        <v>853</v>
      </c>
      <c r="D13" s="168" t="str">
        <f>'MODELO DE PRESUPUESTO'!C25</f>
        <v>POSTE HORMIGON ARMADO CIRCULAR 14 M X 700 KG</v>
      </c>
      <c r="E13" s="168" t="s">
        <v>77</v>
      </c>
      <c r="F13" s="300">
        <f>'MODELO DE PRESUPUESTO'!F25</f>
        <v>0</v>
      </c>
      <c r="G13" s="395">
        <f>'MODELO DE PRESUPUESTO'!G25</f>
        <v>606.9</v>
      </c>
      <c r="H13" s="300">
        <f t="shared" si="0"/>
        <v>0</v>
      </c>
    </row>
    <row r="14" spans="1:9" ht="12.75" customHeight="1" x14ac:dyDescent="0.25">
      <c r="A14" s="168" t="s">
        <v>379</v>
      </c>
      <c r="B14" s="168" t="s">
        <v>448</v>
      </c>
      <c r="C14" s="169" t="s">
        <v>380</v>
      </c>
      <c r="D14" s="168" t="str">
        <f>'MODELO DE PRESUPUESTO'!C26</f>
        <v>POSTE HORMIGÓN ARMADO CIRCULAR 14 M X  2000 KG (autosoportante)</v>
      </c>
      <c r="E14" s="168" t="s">
        <v>77</v>
      </c>
      <c r="F14" s="300">
        <f>'MODELO DE PRESUPUESTO'!F26</f>
        <v>0</v>
      </c>
      <c r="G14" s="395">
        <f>'MODELO DE PRESUPUESTO'!G26</f>
        <v>1198.96</v>
      </c>
      <c r="H14" s="300">
        <f t="shared" ref="H14" si="1">ROUND((F14*G14),2)</f>
        <v>0</v>
      </c>
      <c r="I14" s="168" t="s">
        <v>1072</v>
      </c>
    </row>
    <row r="15" spans="1:9" ht="12.75" customHeight="1" x14ac:dyDescent="0.25">
      <c r="A15" s="168" t="s">
        <v>379</v>
      </c>
      <c r="B15" s="168" t="s">
        <v>448</v>
      </c>
      <c r="C15" s="169" t="s">
        <v>457</v>
      </c>
      <c r="D15" s="168" t="str">
        <f>'MODELO DE PRESUPUESTO'!C29</f>
        <v>Poste circular de plástico reforzado con fibra de vidrio, 12 m, 500 kg</v>
      </c>
      <c r="E15" s="168" t="s">
        <v>77</v>
      </c>
      <c r="F15" s="300">
        <f>'MODELO DE PRESUPUESTO'!F29</f>
        <v>0</v>
      </c>
      <c r="G15" s="395">
        <f>'MODELO DE PRESUPUESTO'!G29</f>
        <v>627.17999999999995</v>
      </c>
      <c r="H15" s="300">
        <f t="shared" ref="H15:H16" si="2">ROUND((F15*G15),2)</f>
        <v>0</v>
      </c>
    </row>
    <row r="16" spans="1:9" ht="12.75" customHeight="1" x14ac:dyDescent="0.25">
      <c r="A16" s="168" t="s">
        <v>379</v>
      </c>
      <c r="B16" s="168" t="s">
        <v>448</v>
      </c>
      <c r="C16" s="169" t="s">
        <v>380</v>
      </c>
      <c r="D16" s="168" t="str">
        <f>'MODELO DE PRESUPUESTO'!C30</f>
        <v>Poste circular de plástico reforzado con fibra de vidrio, 12 m, 2000 kg   (Autosoportable)</v>
      </c>
      <c r="E16" s="168" t="s">
        <v>77</v>
      </c>
      <c r="F16" s="300">
        <f>'MODELO DE PRESUPUESTO'!F30</f>
        <v>0</v>
      </c>
      <c r="G16" s="395">
        <f>'MODELO DE PRESUPUESTO'!G30</f>
        <v>1504.58</v>
      </c>
      <c r="H16" s="300">
        <f t="shared" si="2"/>
        <v>0</v>
      </c>
      <c r="I16" s="168" t="s">
        <v>1075</v>
      </c>
    </row>
    <row r="17" spans="1:9" x14ac:dyDescent="0.25">
      <c r="A17" s="168" t="s">
        <v>379</v>
      </c>
      <c r="B17" s="168" t="s">
        <v>448</v>
      </c>
      <c r="C17" s="169" t="s">
        <v>458</v>
      </c>
      <c r="D17" s="168" t="s">
        <v>414</v>
      </c>
      <c r="E17" s="168" t="s">
        <v>77</v>
      </c>
      <c r="F17" s="300">
        <f>'MODELO DE PRESUPUESTO'!F158</f>
        <v>21</v>
      </c>
      <c r="G17" s="395">
        <f>'BASE DATOS MATERIALES'!F220</f>
        <v>42.07</v>
      </c>
      <c r="H17" s="300">
        <f t="shared" si="0"/>
        <v>883.47</v>
      </c>
    </row>
    <row r="18" spans="1:9" x14ac:dyDescent="0.25">
      <c r="A18" s="168" t="s">
        <v>379</v>
      </c>
      <c r="B18" s="168" t="s">
        <v>448</v>
      </c>
      <c r="C18" s="169" t="s">
        <v>459</v>
      </c>
      <c r="D18" s="168" t="s">
        <v>415</v>
      </c>
      <c r="E18" s="168" t="s">
        <v>77</v>
      </c>
      <c r="F18" s="300">
        <f>'MODELO DE PRESUPUESTO'!F159</f>
        <v>0</v>
      </c>
      <c r="G18" s="395">
        <f>'BASE DATOS MATERIALES'!H220</f>
        <v>125.91</v>
      </c>
      <c r="H18" s="300">
        <f t="shared" si="0"/>
        <v>0</v>
      </c>
    </row>
    <row r="19" spans="1:9" x14ac:dyDescent="0.25">
      <c r="A19" s="168" t="s">
        <v>379</v>
      </c>
      <c r="B19" s="168" t="s">
        <v>448</v>
      </c>
      <c r="C19" s="169" t="s">
        <v>460</v>
      </c>
      <c r="D19" s="168" t="s">
        <v>416</v>
      </c>
      <c r="E19" s="168" t="s">
        <v>77</v>
      </c>
      <c r="F19" s="300">
        <f>'MODELO DE PRESUPUESTO'!F160</f>
        <v>28</v>
      </c>
      <c r="G19" s="395">
        <f>'BASE DATOS MATERIALES'!J220</f>
        <v>39.160000000000004</v>
      </c>
      <c r="H19" s="300">
        <f t="shared" si="0"/>
        <v>1096.48</v>
      </c>
    </row>
    <row r="20" spans="1:9" x14ac:dyDescent="0.25">
      <c r="A20" s="168" t="s">
        <v>379</v>
      </c>
      <c r="B20" s="168" t="s">
        <v>448</v>
      </c>
      <c r="C20" s="169" t="s">
        <v>461</v>
      </c>
      <c r="D20" s="168" t="s">
        <v>417</v>
      </c>
      <c r="E20" s="168" t="s">
        <v>77</v>
      </c>
      <c r="F20" s="300">
        <f>'MODELO DE PRESUPUESTO'!F161</f>
        <v>0</v>
      </c>
      <c r="G20" s="395">
        <f>'BASE DATOS MATERIALES'!L220</f>
        <v>55.19</v>
      </c>
      <c r="H20" s="300">
        <f t="shared" si="0"/>
        <v>0</v>
      </c>
    </row>
    <row r="21" spans="1:9" x14ac:dyDescent="0.25">
      <c r="A21" s="168" t="s">
        <v>379</v>
      </c>
      <c r="B21" s="168" t="s">
        <v>448</v>
      </c>
      <c r="C21" s="170" t="s">
        <v>462</v>
      </c>
      <c r="D21" s="168" t="s">
        <v>749</v>
      </c>
      <c r="E21" s="168" t="s">
        <v>77</v>
      </c>
      <c r="F21" s="300">
        <f>'MODELO DE PRESUPUESTO'!F162</f>
        <v>0</v>
      </c>
      <c r="G21" s="395">
        <f>'BASE DATOS MATERIALES'!N220</f>
        <v>54.13</v>
      </c>
      <c r="H21" s="300">
        <f t="shared" si="0"/>
        <v>0</v>
      </c>
    </row>
    <row r="22" spans="1:9" x14ac:dyDescent="0.25">
      <c r="A22" s="168" t="s">
        <v>379</v>
      </c>
      <c r="B22" s="168" t="s">
        <v>448</v>
      </c>
      <c r="C22" s="170" t="s">
        <v>462</v>
      </c>
      <c r="D22" s="168" t="s">
        <v>749</v>
      </c>
      <c r="E22" s="168" t="s">
        <v>77</v>
      </c>
      <c r="F22" s="300">
        <f>'MODELO DE PRESUPUESTO'!F163</f>
        <v>2</v>
      </c>
      <c r="G22" s="395">
        <f>'BASE DATOS MATERIALES'!P220</f>
        <v>90.87</v>
      </c>
      <c r="H22" s="300">
        <f t="shared" ref="H22" si="3">ROUND((F22*G22),2)</f>
        <v>181.74</v>
      </c>
    </row>
    <row r="23" spans="1:9" x14ac:dyDescent="0.25">
      <c r="A23" s="168" t="s">
        <v>379</v>
      </c>
      <c r="B23" s="168" t="s">
        <v>448</v>
      </c>
      <c r="C23" s="169" t="s">
        <v>467</v>
      </c>
      <c r="D23" s="168" t="s">
        <v>111</v>
      </c>
      <c r="E23" s="168" t="s">
        <v>77</v>
      </c>
      <c r="F23" s="300">
        <f>'MODELO DE PRESUPUESTO'!F184</f>
        <v>1</v>
      </c>
      <c r="G23" s="395">
        <f>'BASE DATOS MATERIALES'!R220</f>
        <v>83.87</v>
      </c>
      <c r="H23" s="300">
        <f t="shared" si="0"/>
        <v>83.87</v>
      </c>
    </row>
    <row r="24" spans="1:9" x14ac:dyDescent="0.25">
      <c r="A24" s="168" t="s">
        <v>379</v>
      </c>
      <c r="B24" s="168" t="s">
        <v>448</v>
      </c>
      <c r="C24" s="169" t="s">
        <v>468</v>
      </c>
      <c r="D24" s="168" t="s">
        <v>112</v>
      </c>
      <c r="E24" s="168" t="s">
        <v>77</v>
      </c>
      <c r="F24" s="300">
        <f>'MODELO DE PRESUPUESTO'!F185</f>
        <v>7</v>
      </c>
      <c r="G24" s="395">
        <f>'BASE DATOS MATERIALES'!T220</f>
        <v>62.080000000000005</v>
      </c>
      <c r="H24" s="300">
        <f t="shared" si="0"/>
        <v>434.56</v>
      </c>
    </row>
    <row r="25" spans="1:9" x14ac:dyDescent="0.25">
      <c r="A25" s="168" t="s">
        <v>379</v>
      </c>
      <c r="B25" s="168" t="s">
        <v>448</v>
      </c>
      <c r="C25" s="169" t="s">
        <v>469</v>
      </c>
      <c r="D25" s="168" t="s">
        <v>114</v>
      </c>
      <c r="E25" s="168" t="s">
        <v>77</v>
      </c>
      <c r="F25" s="300">
        <f>'MODELO DE PRESUPUESTO'!F187</f>
        <v>0</v>
      </c>
      <c r="G25" s="395">
        <f>'BASE DATOS MATERIALES'!X220</f>
        <v>90.4</v>
      </c>
      <c r="H25" s="300">
        <f t="shared" si="0"/>
        <v>0</v>
      </c>
    </row>
    <row r="26" spans="1:9" x14ac:dyDescent="0.25">
      <c r="A26" s="168" t="s">
        <v>379</v>
      </c>
      <c r="B26" s="168" t="s">
        <v>448</v>
      </c>
      <c r="C26" s="168" t="s">
        <v>380</v>
      </c>
      <c r="D26" s="168" t="s">
        <v>238</v>
      </c>
      <c r="E26" s="168" t="s">
        <v>77</v>
      </c>
      <c r="F26" s="300">
        <f>'MODELO DE PRESUPUESTO'!F66</f>
        <v>0</v>
      </c>
      <c r="G26" s="395">
        <f>'MODELO DE PRESUPUESTO'!G66</f>
        <v>9.26</v>
      </c>
      <c r="H26" s="300">
        <f t="shared" si="0"/>
        <v>0</v>
      </c>
      <c r="I26" s="168" t="s">
        <v>238</v>
      </c>
    </row>
    <row r="27" spans="1:9" x14ac:dyDescent="0.25">
      <c r="A27" s="168" t="s">
        <v>379</v>
      </c>
      <c r="B27" s="168" t="s">
        <v>448</v>
      </c>
      <c r="C27" s="168" t="s">
        <v>380</v>
      </c>
      <c r="D27" s="168" t="s">
        <v>239</v>
      </c>
      <c r="E27" s="168" t="s">
        <v>77</v>
      </c>
      <c r="F27" s="300">
        <f>'MODELO DE PRESUPUESTO'!F67</f>
        <v>0</v>
      </c>
      <c r="G27" s="395">
        <f>'MODELO DE PRESUPUESTO'!G67</f>
        <v>11.35</v>
      </c>
      <c r="H27" s="300">
        <f t="shared" si="0"/>
        <v>0</v>
      </c>
      <c r="I27" s="168" t="s">
        <v>239</v>
      </c>
    </row>
    <row r="28" spans="1:9" x14ac:dyDescent="0.25">
      <c r="A28" s="168" t="s">
        <v>379</v>
      </c>
      <c r="B28" s="168" t="s">
        <v>448</v>
      </c>
      <c r="C28" s="168" t="s">
        <v>380</v>
      </c>
      <c r="D28" s="168" t="s">
        <v>1069</v>
      </c>
      <c r="E28" s="168" t="s">
        <v>77</v>
      </c>
      <c r="F28" s="300">
        <f>'MODELO DE PRESUPUESTO'!F68</f>
        <v>0</v>
      </c>
      <c r="G28" s="395">
        <f>'MODELO DE PRESUPUESTO'!G68</f>
        <v>12.88</v>
      </c>
      <c r="H28" s="300">
        <f t="shared" si="0"/>
        <v>0</v>
      </c>
      <c r="I28" s="168" t="s">
        <v>1069</v>
      </c>
    </row>
    <row r="29" spans="1:9" x14ac:dyDescent="0.25">
      <c r="A29" s="168" t="s">
        <v>379</v>
      </c>
      <c r="B29" s="168" t="s">
        <v>448</v>
      </c>
      <c r="C29" s="168" t="s">
        <v>380</v>
      </c>
      <c r="D29" s="168" t="s">
        <v>1070</v>
      </c>
      <c r="E29" s="168" t="s">
        <v>77</v>
      </c>
      <c r="F29" s="300">
        <f>'MODELO DE PRESUPUESTO'!F69</f>
        <v>0</v>
      </c>
      <c r="G29" s="395">
        <f>'MODELO DE PRESUPUESTO'!G69</f>
        <v>14.88</v>
      </c>
      <c r="H29" s="300">
        <f t="shared" si="0"/>
        <v>0</v>
      </c>
      <c r="I29" s="168" t="s">
        <v>1070</v>
      </c>
    </row>
    <row r="30" spans="1:9" x14ac:dyDescent="0.25">
      <c r="A30" s="168" t="s">
        <v>379</v>
      </c>
      <c r="B30" s="168" t="s">
        <v>448</v>
      </c>
      <c r="C30" s="171" t="s">
        <v>470</v>
      </c>
      <c r="D30" s="168" t="s">
        <v>424</v>
      </c>
      <c r="E30" s="168" t="s">
        <v>77</v>
      </c>
      <c r="F30" s="300">
        <f>'MODELO DE PRESUPUESTO'!F191</f>
        <v>1</v>
      </c>
      <c r="G30" s="395">
        <f>'BASE DATOS MATERIALES'!AF220</f>
        <v>229.66</v>
      </c>
      <c r="H30" s="300">
        <f t="shared" si="0"/>
        <v>229.66</v>
      </c>
    </row>
    <row r="31" spans="1:9" x14ac:dyDescent="0.25">
      <c r="A31" s="168" t="s">
        <v>379</v>
      </c>
      <c r="B31" s="168" t="s">
        <v>448</v>
      </c>
      <c r="C31" s="168" t="s">
        <v>380</v>
      </c>
      <c r="D31" s="168" t="s">
        <v>1095</v>
      </c>
      <c r="E31" s="168" t="s">
        <v>1052</v>
      </c>
      <c r="F31" s="300">
        <f>('MODELO DE PRESUPUESTO'!F23+'MODELO DE PRESUPUESTO'!F26+'MODELO DE PRESUPUESTO'!F30)*0.128</f>
        <v>3.3280000000000003</v>
      </c>
      <c r="G31" s="395">
        <f>'MODELO DE PRESUPUESTO'!G31</f>
        <v>345</v>
      </c>
      <c r="H31" s="300">
        <f t="shared" si="0"/>
        <v>1148.1600000000001</v>
      </c>
      <c r="I31" s="168" t="s">
        <v>1095</v>
      </c>
    </row>
    <row r="32" spans="1:9" x14ac:dyDescent="0.25">
      <c r="A32" s="168" t="s">
        <v>379</v>
      </c>
      <c r="B32" s="168" t="s">
        <v>448</v>
      </c>
      <c r="C32" s="168" t="s">
        <v>380</v>
      </c>
      <c r="D32" s="168" t="s">
        <v>1096</v>
      </c>
      <c r="E32" s="168" t="s">
        <v>1052</v>
      </c>
      <c r="F32" s="300">
        <f>(('MODELO DE PRESUPUESTO'!F23+'MODELO DE PRESUPUESTO'!F30)*1.09)+('MODELO DE PRESUPUESTO'!F26*1.22)</f>
        <v>28.340000000000003</v>
      </c>
      <c r="G32" s="395">
        <f>'MODELO DE PRESUPUESTO'!G32</f>
        <v>24.2</v>
      </c>
      <c r="H32" s="300">
        <f t="shared" si="0"/>
        <v>685.83</v>
      </c>
      <c r="I32" s="168" t="s">
        <v>1096</v>
      </c>
    </row>
    <row r="33" spans="1:9" x14ac:dyDescent="0.25">
      <c r="A33" s="168" t="s">
        <v>379</v>
      </c>
      <c r="B33" s="168" t="s">
        <v>449</v>
      </c>
      <c r="C33" s="169" t="s">
        <v>967</v>
      </c>
      <c r="D33" s="168" t="s">
        <v>73</v>
      </c>
      <c r="E33" s="168" t="s">
        <v>61</v>
      </c>
      <c r="F33" s="300">
        <f>'MODELO DE PRESUPUESTO'!F16</f>
        <v>2.64</v>
      </c>
      <c r="G33" s="395">
        <f>'BASE DATOS MATERIALES'!D182</f>
        <v>3840</v>
      </c>
      <c r="H33" s="300">
        <f t="shared" si="0"/>
        <v>10137.6</v>
      </c>
    </row>
    <row r="34" spans="1:9" x14ac:dyDescent="0.25">
      <c r="A34" s="168" t="s">
        <v>379</v>
      </c>
      <c r="B34" s="168" t="s">
        <v>449</v>
      </c>
      <c r="C34" s="169" t="s">
        <v>1038</v>
      </c>
      <c r="D34" s="168" t="s">
        <v>1039</v>
      </c>
      <c r="E34" s="168" t="s">
        <v>61</v>
      </c>
      <c r="F34" s="300">
        <f>'MODELO DE PRESUPUESTO'!F17</f>
        <v>0</v>
      </c>
      <c r="G34" s="395">
        <f>'BASE DATOS MATERIALES'!D32</f>
        <v>2100</v>
      </c>
      <c r="H34" s="300">
        <f t="shared" si="0"/>
        <v>0</v>
      </c>
    </row>
    <row r="35" spans="1:9" x14ac:dyDescent="0.25">
      <c r="A35" s="168" t="s">
        <v>379</v>
      </c>
      <c r="B35" s="168" t="s">
        <v>832</v>
      </c>
      <c r="C35" s="168" t="s">
        <v>380</v>
      </c>
      <c r="D35" s="168" t="s">
        <v>1094</v>
      </c>
      <c r="E35" s="168" t="s">
        <v>974</v>
      </c>
      <c r="F35" s="300">
        <f>'MODELO DE PRESUPUESTO'!F213+'MODELO DE PRESUPUESTO'!F214</f>
        <v>339</v>
      </c>
      <c r="G35" s="395">
        <f>'BASE DATOS MATERIALES'!AR220</f>
        <v>20.91</v>
      </c>
      <c r="H35" s="300">
        <f t="shared" si="0"/>
        <v>7088.49</v>
      </c>
      <c r="I35" s="168" t="s">
        <v>1094</v>
      </c>
    </row>
    <row r="36" spans="1:9" x14ac:dyDescent="0.25">
      <c r="A36" s="168" t="s">
        <v>379</v>
      </c>
      <c r="B36" s="168" t="s">
        <v>449</v>
      </c>
      <c r="C36" s="169" t="s">
        <v>455</v>
      </c>
      <c r="D36" s="168" t="s">
        <v>438</v>
      </c>
      <c r="E36" s="168" t="s">
        <v>77</v>
      </c>
      <c r="F36" s="300">
        <f>'MODELO DE PRESUPUESTO'!F20</f>
        <v>26</v>
      </c>
      <c r="G36" s="395">
        <f>'MODELO DE PRESUPUESTO'!G20</f>
        <v>205.53</v>
      </c>
      <c r="H36" s="300">
        <f t="shared" si="0"/>
        <v>5343.78</v>
      </c>
    </row>
    <row r="37" spans="1:9" x14ac:dyDescent="0.25">
      <c r="A37" s="168" t="s">
        <v>379</v>
      </c>
      <c r="B37" s="168" t="s">
        <v>449</v>
      </c>
      <c r="C37" s="168" t="s">
        <v>380</v>
      </c>
      <c r="D37" s="168" t="s">
        <v>1024</v>
      </c>
      <c r="E37" s="168" t="s">
        <v>77</v>
      </c>
      <c r="F37" s="300">
        <f>'MODELO DE PRESUPUESTO'!F21</f>
        <v>16</v>
      </c>
      <c r="G37" s="395">
        <f>'BASE DATOS MATERIALES'!D55</f>
        <v>852.87</v>
      </c>
      <c r="H37" s="300">
        <f t="shared" si="0"/>
        <v>13645.92</v>
      </c>
      <c r="I37" s="168" t="s">
        <v>1024</v>
      </c>
    </row>
    <row r="38" spans="1:9" x14ac:dyDescent="0.25">
      <c r="A38" s="168" t="s">
        <v>379</v>
      </c>
      <c r="B38" s="168" t="s">
        <v>449</v>
      </c>
      <c r="C38" s="169" t="s">
        <v>1092</v>
      </c>
      <c r="D38" s="168" t="str">
        <f>'MODELO DE PRESUPUESTO'!C27</f>
        <v>Poste circular de plástico reforzado con fibra de vidrio, 10 m, 400 kg</v>
      </c>
      <c r="E38" s="168" t="s">
        <v>77</v>
      </c>
      <c r="F38" s="300">
        <f>'MODELO DE PRESUPUESTO'!F27</f>
        <v>6</v>
      </c>
      <c r="G38" s="395">
        <f>'MODELO DE PRESUPUESTO'!G27</f>
        <v>532.74</v>
      </c>
      <c r="H38" s="300">
        <f t="shared" ref="H38:H39" si="4">ROUND((F38*G38),2)</f>
        <v>3196.44</v>
      </c>
    </row>
    <row r="39" spans="1:9" x14ac:dyDescent="0.25">
      <c r="A39" s="168" t="s">
        <v>379</v>
      </c>
      <c r="B39" s="168" t="s">
        <v>449</v>
      </c>
      <c r="C39" s="169" t="s">
        <v>1093</v>
      </c>
      <c r="D39" s="168" t="str">
        <f>'MODELO DE PRESUPUESTO'!C28</f>
        <v>Poste circular de plástico reforzado con fibra de vidrio, 10 m, 2000 kg  (Autosoportable)</v>
      </c>
      <c r="E39" s="168" t="s">
        <v>77</v>
      </c>
      <c r="F39" s="300">
        <f>'MODELO DE PRESUPUESTO'!F28</f>
        <v>2</v>
      </c>
      <c r="G39" s="395">
        <f>'MODELO DE PRESUPUESTO'!G28</f>
        <v>1259.6600000000001</v>
      </c>
      <c r="H39" s="300">
        <f t="shared" si="4"/>
        <v>2519.3200000000002</v>
      </c>
    </row>
    <row r="40" spans="1:9" x14ac:dyDescent="0.25">
      <c r="A40" s="168" t="s">
        <v>379</v>
      </c>
      <c r="B40" s="168" t="s">
        <v>449</v>
      </c>
      <c r="C40" s="168" t="s">
        <v>463</v>
      </c>
      <c r="D40" s="168" t="s">
        <v>962</v>
      </c>
      <c r="E40" s="168" t="s">
        <v>77</v>
      </c>
      <c r="F40" s="300">
        <f>'MODELO DE PRESUPUESTO'!F177</f>
        <v>31</v>
      </c>
      <c r="G40" s="395">
        <f>'BASE DATOS MATERIALES'!AH220</f>
        <v>11.38</v>
      </c>
      <c r="H40" s="300">
        <f t="shared" ref="H40:H63" si="5">ROUND((F40*G40),2)</f>
        <v>352.78</v>
      </c>
    </row>
    <row r="41" spans="1:9" x14ac:dyDescent="0.25">
      <c r="A41" s="168" t="s">
        <v>379</v>
      </c>
      <c r="B41" s="168" t="s">
        <v>449</v>
      </c>
      <c r="C41" s="168" t="s">
        <v>464</v>
      </c>
      <c r="D41" s="168" t="s">
        <v>961</v>
      </c>
      <c r="E41" s="168" t="s">
        <v>77</v>
      </c>
      <c r="F41" s="300">
        <f>'MODELO DE PRESUPUESTO'!F179</f>
        <v>78</v>
      </c>
      <c r="G41" s="395">
        <f>'BASE DATOS MATERIALES'!AJ220</f>
        <v>27.779999999999998</v>
      </c>
      <c r="H41" s="300">
        <f t="shared" si="5"/>
        <v>2166.84</v>
      </c>
    </row>
    <row r="42" spans="1:9" x14ac:dyDescent="0.25">
      <c r="A42" s="168" t="s">
        <v>379</v>
      </c>
      <c r="B42" s="168" t="s">
        <v>449</v>
      </c>
      <c r="C42" s="168" t="s">
        <v>957</v>
      </c>
      <c r="D42" s="168" t="s">
        <v>959</v>
      </c>
      <c r="E42" s="168" t="s">
        <v>77</v>
      </c>
      <c r="F42" s="300">
        <f>'MODELO DE PRESUPUESTO'!F178</f>
        <v>10</v>
      </c>
      <c r="G42" s="395">
        <f>'BASE DATOS MATERIALES'!AL220</f>
        <v>11.38</v>
      </c>
      <c r="H42" s="300">
        <f t="shared" si="5"/>
        <v>113.8</v>
      </c>
    </row>
    <row r="43" spans="1:9" x14ac:dyDescent="0.25">
      <c r="A43" s="168" t="s">
        <v>379</v>
      </c>
      <c r="B43" s="168" t="s">
        <v>449</v>
      </c>
      <c r="C43" s="168" t="s">
        <v>958</v>
      </c>
      <c r="D43" s="168" t="s">
        <v>960</v>
      </c>
      <c r="E43" s="168" t="s">
        <v>77</v>
      </c>
      <c r="F43" s="300">
        <f>'MODELO DE PRESUPUESTO'!F180</f>
        <v>0</v>
      </c>
      <c r="G43" s="395">
        <f>'BASE DATOS MATERIALES'!AN220</f>
        <v>54.61999999999999</v>
      </c>
      <c r="H43" s="300">
        <f t="shared" si="5"/>
        <v>0</v>
      </c>
    </row>
    <row r="44" spans="1:9" x14ac:dyDescent="0.25">
      <c r="A44" s="168" t="s">
        <v>379</v>
      </c>
      <c r="B44" s="168" t="s">
        <v>449</v>
      </c>
      <c r="C44" s="168" t="s">
        <v>380</v>
      </c>
      <c r="D44" s="168" t="s">
        <v>108</v>
      </c>
      <c r="E44" s="168" t="s">
        <v>77</v>
      </c>
      <c r="F44" s="300">
        <f>'MODELO DE PRESUPUESTO'!F181</f>
        <v>24</v>
      </c>
      <c r="G44" s="395">
        <f>'BASE DATOS MATERIALES'!AP220</f>
        <v>9.9</v>
      </c>
      <c r="H44" s="300">
        <f t="shared" si="5"/>
        <v>237.6</v>
      </c>
      <c r="I44" s="168" t="s">
        <v>486</v>
      </c>
    </row>
    <row r="45" spans="1:9" x14ac:dyDescent="0.25">
      <c r="A45" s="168" t="s">
        <v>379</v>
      </c>
      <c r="B45" s="168" t="s">
        <v>449</v>
      </c>
      <c r="C45" s="169" t="s">
        <v>466</v>
      </c>
      <c r="D45" s="168" t="s">
        <v>113</v>
      </c>
      <c r="E45" s="168" t="s">
        <v>77</v>
      </c>
      <c r="F45" s="300">
        <f>'MODELO DE PRESUPUESTO'!F186</f>
        <v>29</v>
      </c>
      <c r="G45" s="395">
        <f>'BASE DATOS MATERIALES'!V220</f>
        <v>39.74</v>
      </c>
      <c r="H45" s="300">
        <f t="shared" si="5"/>
        <v>1152.46</v>
      </c>
    </row>
    <row r="46" spans="1:9" x14ac:dyDescent="0.25">
      <c r="A46" s="168" t="s">
        <v>379</v>
      </c>
      <c r="B46" s="168" t="s">
        <v>449</v>
      </c>
      <c r="C46" s="169" t="s">
        <v>465</v>
      </c>
      <c r="D46" s="168" t="s">
        <v>115</v>
      </c>
      <c r="E46" s="168" t="s">
        <v>77</v>
      </c>
      <c r="F46" s="300">
        <f>'MODELO DE PRESUPUESTO'!F188</f>
        <v>0</v>
      </c>
      <c r="G46" s="395">
        <f>'BASE DATOS MATERIALES'!Z220</f>
        <v>68.06</v>
      </c>
      <c r="H46" s="300">
        <f t="shared" si="5"/>
        <v>0</v>
      </c>
    </row>
    <row r="47" spans="1:9" x14ac:dyDescent="0.25">
      <c r="A47" s="168" t="s">
        <v>379</v>
      </c>
      <c r="B47" s="168" t="s">
        <v>449</v>
      </c>
      <c r="C47" s="168" t="s">
        <v>380</v>
      </c>
      <c r="D47" s="168" t="s">
        <v>1095</v>
      </c>
      <c r="F47" s="300">
        <f>('MODELO DE PRESUPUESTO'!F21+'MODELO DE PRESUPUESTO'!F28)*0.128</f>
        <v>2.3040000000000003</v>
      </c>
      <c r="G47" s="395">
        <f>'MODELO DE PRESUPUESTO'!G31</f>
        <v>345</v>
      </c>
      <c r="H47" s="300">
        <f t="shared" si="5"/>
        <v>794.88</v>
      </c>
      <c r="I47" s="168" t="s">
        <v>1095</v>
      </c>
    </row>
    <row r="48" spans="1:9" x14ac:dyDescent="0.25">
      <c r="A48" s="168" t="s">
        <v>379</v>
      </c>
      <c r="B48" s="168" t="s">
        <v>449</v>
      </c>
      <c r="C48" s="168" t="s">
        <v>380</v>
      </c>
      <c r="D48" s="168" t="s">
        <v>1096</v>
      </c>
      <c r="F48" s="300">
        <f>('MODELO DE PRESUPUESTO'!F21+'MODELO DE PRESUPUESTO'!F28)*0.96</f>
        <v>17.28</v>
      </c>
      <c r="G48" s="395">
        <f>'MODELO DE PRESUPUESTO'!G32</f>
        <v>24.2</v>
      </c>
      <c r="H48" s="300">
        <f t="shared" si="5"/>
        <v>418.18</v>
      </c>
      <c r="I48" s="168" t="s">
        <v>1096</v>
      </c>
    </row>
    <row r="49" spans="1:10" x14ac:dyDescent="0.25">
      <c r="A49" s="168" t="s">
        <v>379</v>
      </c>
      <c r="B49" s="168" t="s">
        <v>833</v>
      </c>
      <c r="C49" s="172" t="s">
        <v>471</v>
      </c>
      <c r="D49" s="168" t="s">
        <v>121</v>
      </c>
      <c r="E49" s="168" t="s">
        <v>77</v>
      </c>
      <c r="F49" s="300">
        <f>'MODELO DE PRESUPUESTO'!F197</f>
        <v>18</v>
      </c>
      <c r="G49" s="395">
        <f>'BASE DATOS MATERIALES'!AB220</f>
        <v>211.01999999999998</v>
      </c>
      <c r="H49" s="300">
        <f t="shared" si="5"/>
        <v>3798.36</v>
      </c>
    </row>
    <row r="50" spans="1:10" x14ac:dyDescent="0.25">
      <c r="A50" s="168" t="s">
        <v>379</v>
      </c>
      <c r="B50" s="168" t="s">
        <v>833</v>
      </c>
      <c r="C50" s="175" t="s">
        <v>476</v>
      </c>
      <c r="D50" s="168" t="s">
        <v>132</v>
      </c>
      <c r="E50" s="168" t="s">
        <v>77</v>
      </c>
      <c r="F50" s="300">
        <f>'MODELO DE PRESUPUESTO'!F40</f>
        <v>8</v>
      </c>
      <c r="G50" s="395">
        <f>'BASE DATOS MATERIALES'!BH220</f>
        <v>2882.46</v>
      </c>
      <c r="H50" s="300">
        <f t="shared" si="5"/>
        <v>23059.68</v>
      </c>
    </row>
    <row r="51" spans="1:10" x14ac:dyDescent="0.25">
      <c r="A51" s="168" t="s">
        <v>379</v>
      </c>
      <c r="B51" s="168" t="s">
        <v>833</v>
      </c>
      <c r="C51" s="176" t="s">
        <v>475</v>
      </c>
      <c r="D51" s="168" t="s">
        <v>133</v>
      </c>
      <c r="E51" s="168" t="s">
        <v>77</v>
      </c>
      <c r="F51" s="300">
        <f>'MODELO DE PRESUPUESTO'!F39</f>
        <v>10</v>
      </c>
      <c r="G51" s="395">
        <f>'BASE DATOS MATERIALES'!BF220</f>
        <v>2557.5300000000002</v>
      </c>
      <c r="H51" s="300">
        <f t="shared" si="5"/>
        <v>25575.3</v>
      </c>
    </row>
    <row r="52" spans="1:10" x14ac:dyDescent="0.25">
      <c r="A52" s="168" t="s">
        <v>379</v>
      </c>
      <c r="B52" s="168" t="s">
        <v>833</v>
      </c>
      <c r="C52" s="177" t="s">
        <v>474</v>
      </c>
      <c r="D52" s="168" t="s">
        <v>134</v>
      </c>
      <c r="E52" s="168" t="s">
        <v>77</v>
      </c>
      <c r="F52" s="300">
        <f>'MODELO DE PRESUPUESTO'!F38</f>
        <v>0</v>
      </c>
      <c r="G52" s="395">
        <f>'BASE DATOS MATERIALES'!BD220</f>
        <v>2236.81</v>
      </c>
      <c r="H52" s="300">
        <f t="shared" si="5"/>
        <v>0</v>
      </c>
    </row>
    <row r="53" spans="1:10" x14ac:dyDescent="0.25">
      <c r="A53" s="168" t="s">
        <v>379</v>
      </c>
      <c r="B53" s="168" t="s">
        <v>833</v>
      </c>
      <c r="C53" s="178" t="s">
        <v>478</v>
      </c>
      <c r="D53" s="168" t="s">
        <v>135</v>
      </c>
      <c r="E53" s="168" t="s">
        <v>77</v>
      </c>
      <c r="F53" s="300">
        <f>'MODELO DE PRESUPUESTO'!F37</f>
        <v>0</v>
      </c>
      <c r="G53" s="395">
        <f>'BASE DATOS MATERIALES'!BB220</f>
        <v>1562.77</v>
      </c>
      <c r="H53" s="300">
        <f t="shared" si="5"/>
        <v>0</v>
      </c>
    </row>
    <row r="54" spans="1:10" x14ac:dyDescent="0.25">
      <c r="A54" s="168" t="s">
        <v>379</v>
      </c>
      <c r="B54" s="168" t="s">
        <v>833</v>
      </c>
      <c r="C54" s="179" t="s">
        <v>477</v>
      </c>
      <c r="D54" s="168" t="s">
        <v>136</v>
      </c>
      <c r="E54" s="168" t="s">
        <v>77</v>
      </c>
      <c r="F54" s="300">
        <f>'MODELO DE PRESUPUESTO'!F36</f>
        <v>0</v>
      </c>
      <c r="G54" s="395">
        <f>'BASE DATOS MATERIALES'!AZ220</f>
        <v>1382.39</v>
      </c>
      <c r="H54" s="300">
        <f t="shared" si="5"/>
        <v>0</v>
      </c>
    </row>
    <row r="55" spans="1:10" x14ac:dyDescent="0.25">
      <c r="A55" s="168" t="s">
        <v>379</v>
      </c>
      <c r="B55" s="168" t="s">
        <v>833</v>
      </c>
      <c r="C55" s="180" t="s">
        <v>474</v>
      </c>
      <c r="D55" s="168" t="s">
        <v>137</v>
      </c>
      <c r="E55" s="168" t="s">
        <v>77</v>
      </c>
      <c r="F55" s="300">
        <f>'MODELO DE PRESUPUESTO'!F35</f>
        <v>0</v>
      </c>
      <c r="G55" s="395">
        <f>'BASE DATOS MATERIALES'!AX220</f>
        <v>1166.8900000000001</v>
      </c>
      <c r="H55" s="300">
        <f t="shared" si="5"/>
        <v>0</v>
      </c>
    </row>
    <row r="56" spans="1:10" x14ac:dyDescent="0.25">
      <c r="A56" s="168" t="s">
        <v>379</v>
      </c>
      <c r="B56" s="168" t="s">
        <v>484</v>
      </c>
      <c r="C56" s="168" t="s">
        <v>380</v>
      </c>
      <c r="D56" s="168" t="s">
        <v>1018</v>
      </c>
      <c r="E56" s="168" t="s">
        <v>77</v>
      </c>
      <c r="F56" s="300">
        <f>'MODELO DE PRESUPUESTO'!F213+'MODELO DE PRESUPUESTO'!F217</f>
        <v>300</v>
      </c>
      <c r="G56" s="395">
        <f>'BASE DATOS MATERIALES'!AV220</f>
        <v>109.56</v>
      </c>
      <c r="H56" s="300">
        <f t="shared" si="5"/>
        <v>32868</v>
      </c>
      <c r="I56" s="168" t="s">
        <v>1018</v>
      </c>
    </row>
    <row r="57" spans="1:10" x14ac:dyDescent="0.25">
      <c r="A57" s="168" t="s">
        <v>379</v>
      </c>
      <c r="B57" s="168" t="s">
        <v>484</v>
      </c>
      <c r="C57" s="168" t="s">
        <v>380</v>
      </c>
      <c r="D57" s="168" t="s">
        <v>1032</v>
      </c>
      <c r="E57" s="168" t="s">
        <v>77</v>
      </c>
      <c r="F57" s="300">
        <f>'MODELO DE PRESUPUESTO'!F213+'MODELO DE PRESUPUESTO'!F217</f>
        <v>300</v>
      </c>
      <c r="G57" s="395">
        <f>'BASE DATOS MATERIALES'!AD220</f>
        <v>26.96</v>
      </c>
      <c r="H57" s="300">
        <f t="shared" si="5"/>
        <v>8088</v>
      </c>
      <c r="I57" s="168" t="s">
        <v>1032</v>
      </c>
    </row>
    <row r="58" spans="1:10" x14ac:dyDescent="0.25">
      <c r="A58" s="168" t="s">
        <v>379</v>
      </c>
      <c r="B58" s="168" t="s">
        <v>832</v>
      </c>
      <c r="C58" s="181" t="s">
        <v>479</v>
      </c>
      <c r="D58" s="168" t="s">
        <v>436</v>
      </c>
      <c r="E58" s="168" t="s">
        <v>194</v>
      </c>
      <c r="F58" s="300">
        <f>'MODELO DE PRESUPUESTO'!F140</f>
        <v>3390</v>
      </c>
      <c r="G58" s="300">
        <f>'MODELO DE PRESUPUESTO'!G140</f>
        <v>2.06</v>
      </c>
      <c r="H58" s="300">
        <f t="shared" si="5"/>
        <v>6983.4</v>
      </c>
    </row>
    <row r="59" spans="1:10" x14ac:dyDescent="0.25">
      <c r="A59" s="168" t="s">
        <v>452</v>
      </c>
      <c r="B59" s="168" t="s">
        <v>483</v>
      </c>
      <c r="D59" s="168" t="s">
        <v>835</v>
      </c>
      <c r="E59" s="168" t="s">
        <v>428</v>
      </c>
      <c r="F59" s="300">
        <v>1</v>
      </c>
      <c r="G59" s="300">
        <f>'MODELO DE PRESUPUESTO'!H284</f>
        <v>5803.67</v>
      </c>
      <c r="H59" s="300">
        <f t="shared" si="5"/>
        <v>5803.67</v>
      </c>
      <c r="I59" s="168" t="s">
        <v>985</v>
      </c>
    </row>
    <row r="60" spans="1:10" x14ac:dyDescent="0.25">
      <c r="A60" s="168" t="s">
        <v>452</v>
      </c>
      <c r="B60" s="168" t="s">
        <v>483</v>
      </c>
      <c r="D60" s="168" t="s">
        <v>984</v>
      </c>
      <c r="E60" s="168" t="s">
        <v>428</v>
      </c>
      <c r="F60" s="300">
        <v>1</v>
      </c>
      <c r="G60" s="300">
        <f>'MODELO DE PRESUPUESTO'!H269</f>
        <v>30917.8</v>
      </c>
      <c r="H60" s="300">
        <f t="shared" si="5"/>
        <v>30917.8</v>
      </c>
      <c r="I60" s="168" t="s">
        <v>984</v>
      </c>
    </row>
    <row r="61" spans="1:10" x14ac:dyDescent="0.25">
      <c r="A61" s="168" t="s">
        <v>452</v>
      </c>
      <c r="B61" s="168" t="s">
        <v>480</v>
      </c>
      <c r="D61" s="168" t="s">
        <v>453</v>
      </c>
      <c r="E61" s="168" t="s">
        <v>428</v>
      </c>
      <c r="F61" s="300">
        <v>1</v>
      </c>
      <c r="G61" s="300">
        <f>'MODELO DE PRESUPUESTO'!H143+'MODELO DE PRESUPUESTO'!H270+'MODELO DE PRESUPUESTO'!H285</f>
        <v>17051.039999999997</v>
      </c>
      <c r="H61" s="300">
        <f t="shared" si="5"/>
        <v>17051.04</v>
      </c>
      <c r="I61" s="168" t="s">
        <v>453</v>
      </c>
    </row>
    <row r="62" spans="1:10" x14ac:dyDescent="0.25">
      <c r="A62" s="168" t="s">
        <v>452</v>
      </c>
      <c r="B62" s="168" t="s">
        <v>482</v>
      </c>
      <c r="D62" s="168" t="s">
        <v>454</v>
      </c>
      <c r="E62" s="168" t="s">
        <v>428</v>
      </c>
      <c r="F62" s="300">
        <v>1</v>
      </c>
      <c r="G62" s="300">
        <f>'MODELO DE PRESUPUESTO'!H144+'MODELO DE PRESUPUESTO'!H271+'MODELO DE PRESUPUESTO'!H286</f>
        <v>12179.31</v>
      </c>
      <c r="H62" s="300">
        <f t="shared" si="5"/>
        <v>12179.31</v>
      </c>
      <c r="I62" s="168" t="s">
        <v>454</v>
      </c>
    </row>
    <row r="63" spans="1:10" ht="15.75" thickBot="1" x14ac:dyDescent="0.3">
      <c r="A63" s="168" t="s">
        <v>452</v>
      </c>
      <c r="B63" s="168" t="s">
        <v>481</v>
      </c>
      <c r="D63" s="168" t="s">
        <v>1140</v>
      </c>
      <c r="E63" s="168" t="s">
        <v>428</v>
      </c>
      <c r="F63" s="300">
        <v>1</v>
      </c>
      <c r="G63" s="300">
        <f>'MODELO DE PRESUPUESTO'!H145+'MODELO DE PRESUPUESTO'!H272+'MODELO DE PRESUPUESTO'!H287</f>
        <v>32041.542800000003</v>
      </c>
      <c r="H63" s="300">
        <f t="shared" si="5"/>
        <v>32041.54</v>
      </c>
      <c r="I63" s="168" t="s">
        <v>1140</v>
      </c>
    </row>
    <row r="64" spans="1:10" ht="15.75" thickBot="1" x14ac:dyDescent="0.3">
      <c r="H64" s="301">
        <f>SUM(H4:H63)</f>
        <v>293136.89</v>
      </c>
      <c r="I64" s="168">
        <f>'MODELO DE PRESUPUESTO'!G292</f>
        <v>304858.06280000007</v>
      </c>
      <c r="J64" s="168">
        <f>I64-H64</f>
        <v>11721.172800000058</v>
      </c>
    </row>
    <row r="66" spans="9:9" x14ac:dyDescent="0.25">
      <c r="I66" s="168">
        <f>H64-I64</f>
        <v>-11721.172800000058</v>
      </c>
    </row>
  </sheetData>
  <autoFilter ref="A3:I64">
    <sortState ref="A4:J66">
      <sortCondition descending="1" ref="A3"/>
    </sortState>
  </autoFilter>
  <customSheetViews>
    <customSheetView guid="{78BD55B1-68EB-420C-90D4-21A42E09A787}" scale="70" filter="1" showAutoFilter="1" state="hidden">
      <selection activeCell="B58" sqref="B58:G62"/>
      <pageMargins left="0.7" right="0.7" top="0.75" bottom="0.75" header="0.3" footer="0.3"/>
      <pageSetup paperSize="9" orientation="portrait" r:id="rId1"/>
      <autoFilter ref="A3:I63">
        <filterColumn colId="7">
          <filters>
            <filter val="1.214,09"/>
            <filter val="1.277,54"/>
            <filter val="1.536,50"/>
            <filter val="1.544,38"/>
            <filter val="1.608,52"/>
            <filter val="1.699,72"/>
            <filter val="120,26"/>
            <filter val="122,49"/>
            <filter val="158,73"/>
            <filter val="191,57"/>
            <filter val="195,28"/>
            <filter val="2.795,21"/>
            <filter val="3.047,27"/>
            <filter val="30,27"/>
            <filter val="30.242,76"/>
            <filter val="308,28"/>
            <filter val="376,31"/>
            <filter val="4.150,61"/>
            <filter val="4.162,80"/>
            <filter val="43,53"/>
            <filter val="438,36"/>
            <filter val="519,12"/>
            <filter val="620,76"/>
            <filter val="644,75"/>
            <filter val="651,96"/>
            <filter val="743,27"/>
            <filter val="78,96"/>
            <filter val="881,10"/>
            <filter val="92,56"/>
            <filter val="988,56"/>
          </filters>
        </filterColumn>
        <sortState ref="A4:J66">
          <sortCondition descending="1" ref="A3"/>
        </sortState>
      </autoFilter>
    </customSheetView>
    <customSheetView guid="{61D25FAA-9885-4686-B739-70FDA39A07A1}" scale="70" filter="1" showAutoFilter="1" state="hidden">
      <selection activeCell="B58" sqref="B58:G62"/>
      <pageMargins left="0.7" right="0.7" top="0.75" bottom="0.75" header="0.3" footer="0.3"/>
      <pageSetup paperSize="9" orientation="portrait" r:id="rId2"/>
      <autoFilter ref="A3:I63">
        <filterColumn colId="7">
          <filters>
            <filter val="1.214,09"/>
            <filter val="1.277,54"/>
            <filter val="1.536,50"/>
            <filter val="1.544,38"/>
            <filter val="1.608,52"/>
            <filter val="1.699,72"/>
            <filter val="120,26"/>
            <filter val="122,49"/>
            <filter val="158,73"/>
            <filter val="191,57"/>
            <filter val="195,28"/>
            <filter val="2.795,21"/>
            <filter val="3.047,27"/>
            <filter val="30,27"/>
            <filter val="30.242,76"/>
            <filter val="308,28"/>
            <filter val="376,31"/>
            <filter val="4.150,61"/>
            <filter val="4.162,80"/>
            <filter val="43,53"/>
            <filter val="438,36"/>
            <filter val="519,12"/>
            <filter val="620,76"/>
            <filter val="644,75"/>
            <filter val="651,96"/>
            <filter val="743,27"/>
            <filter val="78,96"/>
            <filter val="881,10"/>
            <filter val="92,56"/>
            <filter val="988,56"/>
          </filters>
        </filterColumn>
        <sortState ref="A4:J66">
          <sortCondition descending="1" ref="A3"/>
        </sortState>
      </autoFilter>
    </customSheetView>
  </customSheetView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279"/>
  <sheetViews>
    <sheetView topLeftCell="A17" zoomScale="115" zoomScaleNormal="115" workbookViewId="0">
      <selection activeCell="G28" sqref="G28"/>
    </sheetView>
  </sheetViews>
  <sheetFormatPr baseColWidth="10" defaultColWidth="11.42578125" defaultRowHeight="12.75" x14ac:dyDescent="0.2"/>
  <cols>
    <col min="1" max="1" width="11.42578125" style="357"/>
    <col min="2" max="2" width="4.85546875" style="357" customWidth="1"/>
    <col min="3" max="3" width="37.28515625" style="357" customWidth="1"/>
    <col min="4" max="5" width="14" style="357" customWidth="1"/>
    <col min="6" max="6" width="12.5703125" style="357" customWidth="1"/>
    <col min="7" max="7" width="13.140625" style="357" customWidth="1"/>
    <col min="8" max="12" width="14" style="357" customWidth="1"/>
    <col min="13" max="13" width="16.28515625" style="357" customWidth="1"/>
    <col min="14" max="14" width="11.42578125" style="357"/>
    <col min="15" max="15" width="14" style="357" customWidth="1"/>
    <col min="16" max="16" width="11.140625" style="357" customWidth="1"/>
    <col min="17" max="17" width="18.7109375" style="357" customWidth="1"/>
    <col min="18" max="18" width="13.28515625" style="357" customWidth="1"/>
    <col min="19" max="19" width="11.42578125" style="357"/>
    <col min="20" max="20" width="13.28515625" style="357" customWidth="1"/>
    <col min="21" max="21" width="14.140625" style="357" customWidth="1"/>
    <col min="22" max="22" width="7" style="357" customWidth="1"/>
    <col min="23" max="23" width="13.5703125" style="357" customWidth="1"/>
    <col min="24" max="24" width="5.28515625" style="357" customWidth="1"/>
    <col min="25" max="25" width="13.85546875" style="358" customWidth="1"/>
    <col min="26" max="26" width="15.42578125" style="357" customWidth="1"/>
    <col min="27" max="16384" width="11.42578125" style="357"/>
  </cols>
  <sheetData>
    <row r="1" spans="2:26" x14ac:dyDescent="0.2">
      <c r="S1" s="358"/>
      <c r="Y1" s="357"/>
    </row>
    <row r="2" spans="2:26" ht="13.5" thickBot="1" x14ac:dyDescent="0.25">
      <c r="S2" s="358"/>
      <c r="Y2" s="357"/>
    </row>
    <row r="3" spans="2:26" s="379" customFormat="1" ht="51.75" thickBot="1" x14ac:dyDescent="0.25">
      <c r="B3" s="404" t="s">
        <v>794</v>
      </c>
      <c r="C3" s="405" t="s">
        <v>937</v>
      </c>
      <c r="D3" s="405" t="s">
        <v>938</v>
      </c>
      <c r="E3" s="405" t="s">
        <v>946</v>
      </c>
      <c r="F3" s="405" t="s">
        <v>939</v>
      </c>
      <c r="G3" s="405" t="s">
        <v>941</v>
      </c>
      <c r="H3" s="405" t="s">
        <v>940</v>
      </c>
      <c r="I3" s="405" t="s">
        <v>942</v>
      </c>
      <c r="J3" s="405" t="s">
        <v>943</v>
      </c>
      <c r="K3" s="405" t="s">
        <v>944</v>
      </c>
      <c r="L3" s="406" t="s">
        <v>945</v>
      </c>
      <c r="T3" s="380"/>
    </row>
    <row r="4" spans="2:26" s="441" customFormat="1" ht="101.25" customHeight="1" thickBot="1" x14ac:dyDescent="0.25">
      <c r="B4" s="439">
        <v>1</v>
      </c>
      <c r="C4" s="438" t="str">
        <f>'CARATULA-DATOS'!B5</f>
        <v>REPOTENCIACIÓN Y MODERNIZACIÓN DE LAS REDES DE DISTRIBUCIÓN PRIMARIA Y SECUNDARIA DE LA CIUDADELA SANTA FE, DEL CANTÓN CHONE, CON EL REMPLAZO DE REDES AÉREAS DENUDAS DE BAJO VOLTAJE, POR REDES PREENSAMBLADAS.</v>
      </c>
      <c r="D4" s="437" t="str">
        <f>'CARATULA-DATOS'!B10</f>
        <v>CHONE</v>
      </c>
      <c r="E4" s="437" t="str">
        <f>'CARATULA-DATOS'!B9</f>
        <v>Chone</v>
      </c>
      <c r="F4" s="437">
        <f>I4*5</f>
        <v>1695</v>
      </c>
      <c r="G4" s="437">
        <f>'CARATULA-DATOS'!A23</f>
        <v>300</v>
      </c>
      <c r="H4" s="437">
        <f>'CARATULA-DATOS'!B23</f>
        <v>39</v>
      </c>
      <c r="I4" s="437">
        <f>SUM(G4:H4)</f>
        <v>339</v>
      </c>
      <c r="J4" s="437">
        <f>'CARATULA-DATOS'!A20</f>
        <v>1296</v>
      </c>
      <c r="K4" s="437">
        <f>'CARATULA-DATOS'!B20</f>
        <v>2589</v>
      </c>
      <c r="L4" s="440">
        <f>'MODELO DE PRESUPUESTO'!G292</f>
        <v>304858.06280000007</v>
      </c>
      <c r="T4" s="442"/>
    </row>
    <row r="5" spans="2:26" x14ac:dyDescent="0.2">
      <c r="S5" s="358"/>
      <c r="Y5" s="357"/>
    </row>
    <row r="6" spans="2:26" ht="46.5" customHeight="1" x14ac:dyDescent="0.2">
      <c r="O6" s="762" t="s">
        <v>1040</v>
      </c>
      <c r="P6" s="762" t="s">
        <v>1041</v>
      </c>
      <c r="Q6" s="762" t="s">
        <v>1042</v>
      </c>
      <c r="R6" s="762" t="s">
        <v>1043</v>
      </c>
      <c r="S6" s="762" t="s">
        <v>53</v>
      </c>
      <c r="T6" s="762" t="s">
        <v>1044</v>
      </c>
      <c r="U6" s="762" t="s">
        <v>1045</v>
      </c>
      <c r="V6" s="762"/>
      <c r="W6" s="762"/>
      <c r="X6" s="762"/>
      <c r="Y6" s="762" t="s">
        <v>1048</v>
      </c>
      <c r="Z6" s="762" t="s">
        <v>838</v>
      </c>
    </row>
    <row r="7" spans="2:26" ht="15" customHeight="1" x14ac:dyDescent="0.2">
      <c r="O7" s="762"/>
      <c r="P7" s="762"/>
      <c r="Q7" s="762"/>
      <c r="R7" s="762"/>
      <c r="S7" s="762"/>
      <c r="T7" s="762"/>
      <c r="U7" s="399" t="s">
        <v>1046</v>
      </c>
      <c r="V7" s="399" t="s">
        <v>1047</v>
      </c>
      <c r="W7" s="399" t="s">
        <v>1046</v>
      </c>
      <c r="X7" s="399" t="s">
        <v>1047</v>
      </c>
      <c r="Y7" s="762"/>
      <c r="Z7" s="762"/>
    </row>
    <row r="8" spans="2:26" ht="165.75" x14ac:dyDescent="0.2">
      <c r="O8" s="610">
        <v>542900122</v>
      </c>
      <c r="P8" s="608" t="s">
        <v>1049</v>
      </c>
      <c r="Q8" s="607" t="str">
        <f>C4</f>
        <v>REPOTENCIACIÓN Y MODERNIZACIÓN DE LAS REDES DE DISTRIBUCIÓN PRIMARIA Y SECUNDARIA DE LA CIUDADELA SANTA FE, DEL CANTÓN CHONE, CON EL REMPLAZO DE REDES AÉREAS DENUDAS DE BAJO VOLTAJE, POR REDES PREENSAMBLADAS.</v>
      </c>
      <c r="R8" s="610">
        <v>1</v>
      </c>
      <c r="S8" s="609" t="s">
        <v>1050</v>
      </c>
      <c r="T8" s="609">
        <f>L4</f>
        <v>304858.06280000007</v>
      </c>
      <c r="U8" s="609">
        <f>T8*V8/100</f>
        <v>259129.35338000007</v>
      </c>
      <c r="V8" s="610">
        <v>85</v>
      </c>
      <c r="W8" s="609">
        <f>T8*X8/100</f>
        <v>45728.709420000007</v>
      </c>
      <c r="X8" s="610">
        <v>15</v>
      </c>
      <c r="Y8" s="611">
        <f>T8</f>
        <v>304858.06280000007</v>
      </c>
      <c r="Z8" s="609">
        <f>T8</f>
        <v>304858.06280000007</v>
      </c>
    </row>
    <row r="12" spans="2:26" ht="13.5" thickBot="1" x14ac:dyDescent="0.25"/>
    <row r="13" spans="2:26" ht="18.75" customHeight="1" x14ac:dyDescent="0.3">
      <c r="C13" s="764" t="s">
        <v>1152</v>
      </c>
      <c r="D13" s="765"/>
      <c r="E13" s="765"/>
      <c r="F13" s="765"/>
      <c r="G13" s="765"/>
      <c r="H13" s="765"/>
      <c r="I13" s="765"/>
      <c r="J13" s="765"/>
      <c r="K13" s="765"/>
      <c r="L13" s="766"/>
      <c r="M13" s="780" t="s">
        <v>838</v>
      </c>
    </row>
    <row r="14" spans="2:26" ht="18.75" customHeight="1" x14ac:dyDescent="0.3">
      <c r="C14" s="443" t="s">
        <v>936</v>
      </c>
      <c r="D14" s="398" t="s">
        <v>711</v>
      </c>
      <c r="E14" s="398" t="s">
        <v>712</v>
      </c>
      <c r="F14" s="398" t="s">
        <v>713</v>
      </c>
      <c r="G14" s="398" t="s">
        <v>714</v>
      </c>
      <c r="H14" s="398" t="s">
        <v>715</v>
      </c>
      <c r="I14" s="398" t="s">
        <v>716</v>
      </c>
      <c r="J14" s="398" t="s">
        <v>717</v>
      </c>
      <c r="K14" s="399" t="s">
        <v>718</v>
      </c>
      <c r="L14" s="398" t="s">
        <v>719</v>
      </c>
      <c r="M14" s="781"/>
    </row>
    <row r="15" spans="2:26" ht="18.75" customHeight="1" thickBot="1" x14ac:dyDescent="0.35">
      <c r="C15" s="444" t="s">
        <v>969</v>
      </c>
      <c r="D15" s="445">
        <f t="shared" ref="D15:L15" si="0">$C$18</f>
        <v>33873.118088888899</v>
      </c>
      <c r="E15" s="445">
        <f t="shared" si="0"/>
        <v>33873.118088888899</v>
      </c>
      <c r="F15" s="445">
        <f t="shared" si="0"/>
        <v>33873.118088888899</v>
      </c>
      <c r="G15" s="445">
        <f t="shared" si="0"/>
        <v>33873.118088888899</v>
      </c>
      <c r="H15" s="445">
        <f t="shared" si="0"/>
        <v>33873.118088888899</v>
      </c>
      <c r="I15" s="445">
        <f t="shared" si="0"/>
        <v>33873.118088888899</v>
      </c>
      <c r="J15" s="445">
        <f t="shared" si="0"/>
        <v>33873.118088888899</v>
      </c>
      <c r="K15" s="445">
        <f t="shared" si="0"/>
        <v>33873.118088888899</v>
      </c>
      <c r="L15" s="445">
        <f t="shared" si="0"/>
        <v>33873.118088888899</v>
      </c>
      <c r="M15" s="446">
        <f>SUM(D15:L15)</f>
        <v>304858.06280000007</v>
      </c>
    </row>
    <row r="16" spans="2:26" x14ac:dyDescent="0.2">
      <c r="C16" s="378"/>
      <c r="D16" s="378"/>
      <c r="E16" s="378"/>
      <c r="F16" s="378"/>
      <c r="G16" s="378"/>
      <c r="H16" s="378"/>
      <c r="I16" s="378"/>
      <c r="J16" s="378"/>
      <c r="K16" s="378"/>
      <c r="L16" s="378"/>
    </row>
    <row r="17" spans="3:9" x14ac:dyDescent="0.2">
      <c r="C17" s="381">
        <f>'MODELO DE PRESUPUESTO'!G292</f>
        <v>304858.06280000007</v>
      </c>
    </row>
    <row r="18" spans="3:9" x14ac:dyDescent="0.2">
      <c r="C18" s="382">
        <f>C17/9</f>
        <v>33873.118088888899</v>
      </c>
    </row>
    <row r="21" spans="3:9" ht="13.5" thickBot="1" x14ac:dyDescent="0.25"/>
    <row r="22" spans="3:9" ht="13.5" thickBot="1" x14ac:dyDescent="0.25">
      <c r="C22" s="777" t="s">
        <v>923</v>
      </c>
      <c r="D22" s="770" t="s">
        <v>924</v>
      </c>
      <c r="E22" s="771"/>
      <c r="F22" s="771"/>
      <c r="G22" s="771"/>
      <c r="H22" s="772"/>
      <c r="I22" s="777" t="s">
        <v>838</v>
      </c>
    </row>
    <row r="23" spans="3:9" x14ac:dyDescent="0.2">
      <c r="C23" s="778"/>
      <c r="D23" s="773" t="s">
        <v>925</v>
      </c>
      <c r="E23" s="774"/>
      <c r="F23" s="773" t="s">
        <v>928</v>
      </c>
      <c r="G23" s="775"/>
      <c r="H23" s="776"/>
      <c r="I23" s="778"/>
    </row>
    <row r="24" spans="3:9" ht="13.5" thickBot="1" x14ac:dyDescent="0.25">
      <c r="C24" s="779"/>
      <c r="D24" s="400" t="s">
        <v>926</v>
      </c>
      <c r="E24" s="401" t="s">
        <v>927</v>
      </c>
      <c r="F24" s="400" t="s">
        <v>929</v>
      </c>
      <c r="G24" s="402" t="s">
        <v>930</v>
      </c>
      <c r="H24" s="403" t="s">
        <v>931</v>
      </c>
      <c r="I24" s="779"/>
    </row>
    <row r="25" spans="3:9" ht="12" customHeight="1" x14ac:dyDescent="0.2">
      <c r="C25" s="385" t="s">
        <v>932</v>
      </c>
      <c r="D25" s="360"/>
      <c r="E25" s="361"/>
      <c r="F25" s="393"/>
      <c r="G25" s="362"/>
      <c r="H25" s="361"/>
      <c r="I25" s="394"/>
    </row>
    <row r="26" spans="3:9" ht="12" customHeight="1" x14ac:dyDescent="0.2">
      <c r="C26" s="363" t="s">
        <v>933</v>
      </c>
      <c r="D26" s="364"/>
      <c r="E26" s="365"/>
      <c r="F26" s="597">
        <f>+'MODELO DE PRESUPUESTO'!H142*1.12</f>
        <v>231688.46400000009</v>
      </c>
      <c r="G26" s="359"/>
      <c r="H26" s="365"/>
      <c r="I26" s="366">
        <f t="shared" ref="I26:I32" si="1">F26</f>
        <v>231688.46400000009</v>
      </c>
    </row>
    <row r="27" spans="3:9" ht="12" customHeight="1" x14ac:dyDescent="0.2">
      <c r="C27" s="363" t="s">
        <v>934</v>
      </c>
      <c r="D27" s="364"/>
      <c r="E27" s="365"/>
      <c r="F27" s="597">
        <f>+'MODELO DE PRESUPUESTO'!H269*1.12</f>
        <v>34627.936000000002</v>
      </c>
      <c r="G27" s="359"/>
      <c r="H27" s="365"/>
      <c r="I27" s="366">
        <f t="shared" si="1"/>
        <v>34627.936000000002</v>
      </c>
    </row>
    <row r="28" spans="3:9" ht="12" customHeight="1" x14ac:dyDescent="0.2">
      <c r="C28" s="363" t="s">
        <v>935</v>
      </c>
      <c r="D28" s="364"/>
      <c r="E28" s="365"/>
      <c r="F28" s="597">
        <f>+'MODELO DE PRESUPUESTO'!H284</f>
        <v>5803.67</v>
      </c>
      <c r="G28" s="359"/>
      <c r="H28" s="365"/>
      <c r="I28" s="366">
        <f t="shared" si="1"/>
        <v>5803.67</v>
      </c>
    </row>
    <row r="29" spans="3:9" ht="12" customHeight="1" x14ac:dyDescent="0.2">
      <c r="C29" s="363" t="s">
        <v>482</v>
      </c>
      <c r="D29" s="364"/>
      <c r="E29" s="365"/>
      <c r="F29" s="597">
        <f>+'MODELO DE PRESUPUESTO'!I144+'MODELO DE PRESUPUESTO'!I271+'MODELO DE PRESUPUESTO'!I286</f>
        <v>13640.827200000002</v>
      </c>
      <c r="G29" s="359"/>
      <c r="H29" s="365"/>
      <c r="I29" s="366">
        <f>F29</f>
        <v>13640.827200000002</v>
      </c>
    </row>
    <row r="30" spans="3:9" x14ac:dyDescent="0.2">
      <c r="C30" s="386" t="s">
        <v>963</v>
      </c>
      <c r="D30" s="364"/>
      <c r="E30" s="365"/>
      <c r="F30" s="392"/>
      <c r="G30" s="359"/>
      <c r="H30" s="365"/>
      <c r="I30" s="386"/>
    </row>
    <row r="31" spans="3:9" ht="12" customHeight="1" thickBot="1" x14ac:dyDescent="0.25">
      <c r="C31" s="387" t="s">
        <v>964</v>
      </c>
      <c r="D31" s="388"/>
      <c r="E31" s="370"/>
      <c r="F31" s="388">
        <f>'MODELO DE PRESUPUESTO'!I143+'MODELO DE PRESUPUESTO'!I270+'MODELO DE PRESUPUESTO'!I285</f>
        <v>19097.164800000002</v>
      </c>
      <c r="G31" s="369"/>
      <c r="H31" s="370"/>
      <c r="I31" s="389">
        <f>F31</f>
        <v>19097.164800000002</v>
      </c>
    </row>
    <row r="32" spans="3:9" ht="12" customHeight="1" thickBot="1" x14ac:dyDescent="0.25">
      <c r="C32" s="390" t="s">
        <v>840</v>
      </c>
      <c r="D32" s="391"/>
      <c r="E32" s="371"/>
      <c r="F32" s="391">
        <f>F26+F27+F28+F29+F31</f>
        <v>304858.06200000009</v>
      </c>
      <c r="G32" s="367"/>
      <c r="H32" s="371"/>
      <c r="I32" s="368">
        <f t="shared" si="1"/>
        <v>304858.06200000009</v>
      </c>
    </row>
    <row r="34" spans="3:25" ht="13.5" thickBot="1" x14ac:dyDescent="0.25"/>
    <row r="35" spans="3:25" s="168" customFormat="1" ht="19.5" customHeight="1" x14ac:dyDescent="0.25">
      <c r="C35" s="767" t="s">
        <v>1138</v>
      </c>
      <c r="D35" s="768"/>
      <c r="E35" s="768"/>
      <c r="F35" s="768"/>
      <c r="G35" s="768"/>
      <c r="H35" s="768"/>
      <c r="I35" s="768"/>
      <c r="J35" s="768"/>
      <c r="K35" s="768"/>
      <c r="L35" s="768"/>
      <c r="M35" s="769"/>
      <c r="Y35" s="407"/>
    </row>
    <row r="36" spans="3:25" s="168" customFormat="1" ht="19.5" customHeight="1" thickBot="1" x14ac:dyDescent="0.3">
      <c r="C36" s="408" t="s">
        <v>923</v>
      </c>
      <c r="D36" s="409" t="s">
        <v>711</v>
      </c>
      <c r="E36" s="409" t="s">
        <v>712</v>
      </c>
      <c r="F36" s="409" t="s">
        <v>713</v>
      </c>
      <c r="G36" s="409" t="s">
        <v>714</v>
      </c>
      <c r="H36" s="409" t="s">
        <v>715</v>
      </c>
      <c r="I36" s="409" t="s">
        <v>716</v>
      </c>
      <c r="J36" s="409" t="s">
        <v>717</v>
      </c>
      <c r="K36" s="409" t="s">
        <v>718</v>
      </c>
      <c r="L36" s="409" t="s">
        <v>719</v>
      </c>
      <c r="M36" s="410" t="s">
        <v>838</v>
      </c>
      <c r="Y36" s="407"/>
    </row>
    <row r="37" spans="3:25" s="168" customFormat="1" ht="19.5" customHeight="1" x14ac:dyDescent="0.25">
      <c r="C37" s="411" t="s">
        <v>932</v>
      </c>
      <c r="D37" s="412"/>
      <c r="E37" s="412"/>
      <c r="F37" s="412"/>
      <c r="G37" s="412"/>
      <c r="H37" s="412"/>
      <c r="I37" s="412"/>
      <c r="J37" s="412"/>
      <c r="K37" s="412"/>
      <c r="L37" s="412"/>
      <c r="M37" s="413"/>
      <c r="Y37" s="407"/>
    </row>
    <row r="38" spans="3:25" s="168" customFormat="1" ht="19.5" customHeight="1" x14ac:dyDescent="0.25">
      <c r="C38" s="414" t="s">
        <v>933</v>
      </c>
      <c r="D38" s="397">
        <f>$F$26/9</f>
        <v>25743.162666666678</v>
      </c>
      <c r="E38" s="397">
        <f t="shared" ref="E38:L38" si="2">$F$26/9</f>
        <v>25743.162666666678</v>
      </c>
      <c r="F38" s="397">
        <f t="shared" si="2"/>
        <v>25743.162666666678</v>
      </c>
      <c r="G38" s="397">
        <f t="shared" si="2"/>
        <v>25743.162666666678</v>
      </c>
      <c r="H38" s="397">
        <f t="shared" si="2"/>
        <v>25743.162666666678</v>
      </c>
      <c r="I38" s="397">
        <f t="shared" si="2"/>
        <v>25743.162666666678</v>
      </c>
      <c r="J38" s="397">
        <f t="shared" si="2"/>
        <v>25743.162666666678</v>
      </c>
      <c r="K38" s="397">
        <f t="shared" si="2"/>
        <v>25743.162666666678</v>
      </c>
      <c r="L38" s="397">
        <f t="shared" si="2"/>
        <v>25743.162666666678</v>
      </c>
      <c r="M38" s="415">
        <f t="shared" ref="M38:M40" si="3">SUM(D38:L38)</f>
        <v>231688.46400000007</v>
      </c>
      <c r="Y38" s="407"/>
    </row>
    <row r="39" spans="3:25" s="168" customFormat="1" ht="19.5" customHeight="1" x14ac:dyDescent="0.25">
      <c r="C39" s="414" t="s">
        <v>934</v>
      </c>
      <c r="D39" s="397">
        <f>$F$27/9</f>
        <v>3847.5484444444446</v>
      </c>
      <c r="E39" s="397">
        <f t="shared" ref="E39:L39" si="4">$F$27/9</f>
        <v>3847.5484444444446</v>
      </c>
      <c r="F39" s="397">
        <f t="shared" si="4"/>
        <v>3847.5484444444446</v>
      </c>
      <c r="G39" s="397">
        <f t="shared" si="4"/>
        <v>3847.5484444444446</v>
      </c>
      <c r="H39" s="397">
        <f t="shared" si="4"/>
        <v>3847.5484444444446</v>
      </c>
      <c r="I39" s="397">
        <f t="shared" si="4"/>
        <v>3847.5484444444446</v>
      </c>
      <c r="J39" s="397">
        <f t="shared" si="4"/>
        <v>3847.5484444444446</v>
      </c>
      <c r="K39" s="397">
        <f t="shared" si="4"/>
        <v>3847.5484444444446</v>
      </c>
      <c r="L39" s="397">
        <f t="shared" si="4"/>
        <v>3847.5484444444446</v>
      </c>
      <c r="M39" s="415">
        <f t="shared" si="3"/>
        <v>34627.936000000002</v>
      </c>
      <c r="Y39" s="407"/>
    </row>
    <row r="40" spans="3:25" s="168" customFormat="1" ht="19.5" customHeight="1" x14ac:dyDescent="0.25">
      <c r="C40" s="414" t="s">
        <v>935</v>
      </c>
      <c r="D40" s="397">
        <f>$F$28/9</f>
        <v>644.85222222222228</v>
      </c>
      <c r="E40" s="397">
        <f t="shared" ref="E40:L40" si="5">$F$28/9</f>
        <v>644.85222222222228</v>
      </c>
      <c r="F40" s="397">
        <f t="shared" si="5"/>
        <v>644.85222222222228</v>
      </c>
      <c r="G40" s="397">
        <f t="shared" si="5"/>
        <v>644.85222222222228</v>
      </c>
      <c r="H40" s="397">
        <f t="shared" si="5"/>
        <v>644.85222222222228</v>
      </c>
      <c r="I40" s="397">
        <f t="shared" si="5"/>
        <v>644.85222222222228</v>
      </c>
      <c r="J40" s="397">
        <f t="shared" si="5"/>
        <v>644.85222222222228</v>
      </c>
      <c r="K40" s="397">
        <f t="shared" si="5"/>
        <v>644.85222222222228</v>
      </c>
      <c r="L40" s="397">
        <f t="shared" si="5"/>
        <v>644.85222222222228</v>
      </c>
      <c r="M40" s="415">
        <f t="shared" si="3"/>
        <v>5803.67</v>
      </c>
      <c r="Y40" s="407"/>
    </row>
    <row r="41" spans="3:25" s="168" customFormat="1" ht="19.5" customHeight="1" x14ac:dyDescent="0.25">
      <c r="C41" s="414" t="s">
        <v>482</v>
      </c>
      <c r="D41" s="397">
        <f t="shared" ref="D41:L41" si="6">$F$29/9</f>
        <v>1515.6474666666668</v>
      </c>
      <c r="E41" s="397">
        <f t="shared" si="6"/>
        <v>1515.6474666666668</v>
      </c>
      <c r="F41" s="397">
        <f t="shared" si="6"/>
        <v>1515.6474666666668</v>
      </c>
      <c r="G41" s="397">
        <f t="shared" si="6"/>
        <v>1515.6474666666668</v>
      </c>
      <c r="H41" s="397">
        <f t="shared" si="6"/>
        <v>1515.6474666666668</v>
      </c>
      <c r="I41" s="397">
        <f t="shared" si="6"/>
        <v>1515.6474666666668</v>
      </c>
      <c r="J41" s="397">
        <f t="shared" si="6"/>
        <v>1515.6474666666668</v>
      </c>
      <c r="K41" s="397">
        <f t="shared" si="6"/>
        <v>1515.6474666666668</v>
      </c>
      <c r="L41" s="397">
        <f t="shared" si="6"/>
        <v>1515.6474666666668</v>
      </c>
      <c r="M41" s="415">
        <f>SUM(D41:L41)</f>
        <v>13640.827200000003</v>
      </c>
      <c r="Y41" s="407"/>
    </row>
    <row r="42" spans="3:25" s="168" customFormat="1" ht="28.5" customHeight="1" x14ac:dyDescent="0.25">
      <c r="C42" s="425" t="s">
        <v>963</v>
      </c>
      <c r="D42" s="416"/>
      <c r="E42" s="416"/>
      <c r="F42" s="416"/>
      <c r="G42" s="416"/>
      <c r="H42" s="416"/>
      <c r="I42" s="416"/>
      <c r="J42" s="416"/>
      <c r="K42" s="416"/>
      <c r="L42" s="416"/>
      <c r="M42" s="417"/>
      <c r="Y42" s="407"/>
    </row>
    <row r="43" spans="3:25" s="168" customFormat="1" ht="30" customHeight="1" thickBot="1" x14ac:dyDescent="0.3">
      <c r="C43" s="418" t="s">
        <v>964</v>
      </c>
      <c r="D43" s="419">
        <f t="shared" ref="D43:L43" si="7">$F$31/9</f>
        <v>2121.9072000000001</v>
      </c>
      <c r="E43" s="419">
        <f t="shared" si="7"/>
        <v>2121.9072000000001</v>
      </c>
      <c r="F43" s="419">
        <f t="shared" si="7"/>
        <v>2121.9072000000001</v>
      </c>
      <c r="G43" s="419">
        <f t="shared" si="7"/>
        <v>2121.9072000000001</v>
      </c>
      <c r="H43" s="419">
        <f t="shared" si="7"/>
        <v>2121.9072000000001</v>
      </c>
      <c r="I43" s="419">
        <f t="shared" si="7"/>
        <v>2121.9072000000001</v>
      </c>
      <c r="J43" s="419">
        <f t="shared" si="7"/>
        <v>2121.9072000000001</v>
      </c>
      <c r="K43" s="419">
        <f t="shared" si="7"/>
        <v>2121.9072000000001</v>
      </c>
      <c r="L43" s="419">
        <f t="shared" si="7"/>
        <v>2121.9072000000001</v>
      </c>
      <c r="M43" s="420">
        <f>SUM(D43:L43)</f>
        <v>19097.164800000002</v>
      </c>
      <c r="Y43" s="407"/>
    </row>
    <row r="44" spans="3:25" s="168" customFormat="1" ht="19.5" customHeight="1" thickBot="1" x14ac:dyDescent="0.3">
      <c r="C44" s="421" t="s">
        <v>840</v>
      </c>
      <c r="D44" s="422">
        <f>+D38+D39+D40+D41+D43</f>
        <v>33873.118000000009</v>
      </c>
      <c r="E44" s="422">
        <f t="shared" ref="E44:L44" si="8">+E38+E39+E40+E41+E43</f>
        <v>33873.118000000009</v>
      </c>
      <c r="F44" s="422">
        <f t="shared" si="8"/>
        <v>33873.118000000009</v>
      </c>
      <c r="G44" s="422">
        <f t="shared" si="8"/>
        <v>33873.118000000009</v>
      </c>
      <c r="H44" s="422">
        <f t="shared" si="8"/>
        <v>33873.118000000009</v>
      </c>
      <c r="I44" s="422">
        <f t="shared" si="8"/>
        <v>33873.118000000009</v>
      </c>
      <c r="J44" s="422">
        <f t="shared" si="8"/>
        <v>33873.118000000009</v>
      </c>
      <c r="K44" s="422">
        <f t="shared" si="8"/>
        <v>33873.118000000009</v>
      </c>
      <c r="L44" s="423">
        <f t="shared" si="8"/>
        <v>33873.118000000009</v>
      </c>
      <c r="M44" s="424">
        <f>SUM(D44:L44)</f>
        <v>304858.06200000009</v>
      </c>
      <c r="Y44" s="407"/>
    </row>
    <row r="49" spans="3:11" ht="13.5" thickBot="1" x14ac:dyDescent="0.25"/>
    <row r="50" spans="3:11" ht="24" thickBot="1" x14ac:dyDescent="0.4">
      <c r="C50" s="782" t="s">
        <v>983</v>
      </c>
      <c r="D50" s="783"/>
      <c r="E50" s="784"/>
    </row>
    <row r="51" spans="3:11" ht="13.5" thickBot="1" x14ac:dyDescent="0.25">
      <c r="C51" s="427" t="s">
        <v>971</v>
      </c>
      <c r="D51" s="428" t="s">
        <v>53</v>
      </c>
      <c r="E51" s="429" t="s">
        <v>54</v>
      </c>
    </row>
    <row r="52" spans="3:11" x14ac:dyDescent="0.2">
      <c r="C52" s="430" t="s">
        <v>970</v>
      </c>
      <c r="D52" s="426" t="s">
        <v>61</v>
      </c>
      <c r="E52" s="431">
        <f>'CARATULA-DATOS'!A20</f>
        <v>1296</v>
      </c>
    </row>
    <row r="53" spans="3:11" x14ac:dyDescent="0.2">
      <c r="C53" s="364" t="s">
        <v>972</v>
      </c>
      <c r="D53" s="359" t="s">
        <v>61</v>
      </c>
      <c r="E53" s="365">
        <f>'CARATULA-DATOS'!B20</f>
        <v>2589</v>
      </c>
      <c r="G53" s="763" t="s">
        <v>982</v>
      </c>
      <c r="H53" s="763"/>
      <c r="I53" s="763"/>
      <c r="J53" s="763"/>
      <c r="K53" s="763"/>
    </row>
    <row r="54" spans="3:11" x14ac:dyDescent="0.2">
      <c r="C54" s="364" t="s">
        <v>973</v>
      </c>
      <c r="D54" s="359" t="s">
        <v>974</v>
      </c>
      <c r="E54" s="365">
        <f>'MODELO DE PRESUPUESTO'!F35+'MODELO DE PRESUPUESTO'!F36+'MODELO DE PRESUPUESTO'!F37+'MODELO DE PRESUPUESTO'!F38+'MODELO DE PRESUPUESTO'!F39+'MODELO DE PRESUPUESTO'!F40</f>
        <v>18</v>
      </c>
      <c r="G54" s="763"/>
      <c r="H54" s="763"/>
      <c r="I54" s="763"/>
      <c r="J54" s="763"/>
      <c r="K54" s="763"/>
    </row>
    <row r="55" spans="3:11" x14ac:dyDescent="0.2">
      <c r="C55" s="364" t="s">
        <v>975</v>
      </c>
      <c r="D55" s="359" t="s">
        <v>976</v>
      </c>
      <c r="E55" s="365">
        <f>'CARATULA-DATOS'!E28</f>
        <v>775</v>
      </c>
      <c r="G55" s="763"/>
      <c r="H55" s="763"/>
      <c r="I55" s="763"/>
      <c r="J55" s="763"/>
      <c r="K55" s="763"/>
    </row>
    <row r="56" spans="3:11" x14ac:dyDescent="0.2">
      <c r="C56" s="364" t="s">
        <v>977</v>
      </c>
      <c r="D56" s="359" t="s">
        <v>974</v>
      </c>
      <c r="E56" s="365">
        <f>'MODELO DE PRESUPUESTO'!G294</f>
        <v>339</v>
      </c>
    </row>
    <row r="57" spans="3:11" x14ac:dyDescent="0.2">
      <c r="C57" s="364" t="s">
        <v>978</v>
      </c>
      <c r="D57" s="359" t="s">
        <v>974</v>
      </c>
      <c r="E57" s="365">
        <f>'MODELO DE PRESUPUESTO'!F43</f>
        <v>1</v>
      </c>
    </row>
    <row r="58" spans="3:11" x14ac:dyDescent="0.2">
      <c r="C58" s="364" t="s">
        <v>979</v>
      </c>
      <c r="D58" s="359" t="s">
        <v>974</v>
      </c>
      <c r="E58" s="365">
        <f>'MODELO DE PRESUPUESTO'!F20</f>
        <v>26</v>
      </c>
    </row>
    <row r="59" spans="3:11" x14ac:dyDescent="0.2">
      <c r="C59" s="364" t="s">
        <v>980</v>
      </c>
      <c r="D59" s="359" t="s">
        <v>974</v>
      </c>
      <c r="E59" s="365">
        <f>'MODELO DE PRESUPUESTO'!F22</f>
        <v>7</v>
      </c>
    </row>
    <row r="60" spans="3:11" ht="13.5" thickBot="1" x14ac:dyDescent="0.25">
      <c r="C60" s="432" t="s">
        <v>981</v>
      </c>
      <c r="D60" s="433" t="s">
        <v>974</v>
      </c>
      <c r="E60" s="434">
        <f>'MODELO DE PRESUPUESTO'!F29</f>
        <v>0</v>
      </c>
    </row>
    <row r="66" spans="4:11" x14ac:dyDescent="0.2">
      <c r="D66" s="529"/>
      <c r="E66" s="799" t="s">
        <v>1104</v>
      </c>
      <c r="F66" s="799"/>
      <c r="G66" s="530" t="s">
        <v>1105</v>
      </c>
      <c r="H66" s="530" t="s">
        <v>1106</v>
      </c>
      <c r="I66" s="788" t="s">
        <v>1107</v>
      </c>
      <c r="J66" s="788"/>
      <c r="K66" s="788"/>
    </row>
    <row r="67" spans="4:11" x14ac:dyDescent="0.2">
      <c r="D67" s="531" t="s">
        <v>1108</v>
      </c>
      <c r="E67" s="797" t="str">
        <f>'MODELO DE PRESUPUESTO'!D302</f>
        <v>Ing. Liliana Vélez Mendoza</v>
      </c>
      <c r="F67" s="797"/>
      <c r="G67" s="532">
        <f>'CARATULA-DATOS'!B4</f>
        <v>43025</v>
      </c>
      <c r="H67" s="529"/>
      <c r="I67" s="788"/>
      <c r="J67" s="788"/>
      <c r="K67" s="788"/>
    </row>
    <row r="68" spans="4:11" x14ac:dyDescent="0.2">
      <c r="D68" s="531" t="s">
        <v>1109</v>
      </c>
      <c r="E68" s="797" t="str">
        <f>'MODELO DE PRESUPUESTO'!D303</f>
        <v>Ing. Edwin Garcia</v>
      </c>
      <c r="F68" s="797"/>
      <c r="G68" s="532">
        <f>'CARATULA-DATOS'!B4</f>
        <v>43025</v>
      </c>
      <c r="H68" s="529"/>
      <c r="I68" s="788"/>
      <c r="J68" s="788"/>
      <c r="K68" s="788"/>
    </row>
    <row r="69" spans="4:11" x14ac:dyDescent="0.2">
      <c r="D69" s="531" t="s">
        <v>1110</v>
      </c>
      <c r="E69" s="798" t="s">
        <v>1103</v>
      </c>
      <c r="F69" s="798"/>
      <c r="G69" s="529"/>
      <c r="H69" s="529"/>
      <c r="I69" s="788"/>
      <c r="J69" s="788"/>
      <c r="K69" s="788"/>
    </row>
    <row r="70" spans="4:11" ht="12.75" customHeight="1" x14ac:dyDescent="0.2">
      <c r="D70" s="785" t="s">
        <v>1111</v>
      </c>
      <c r="E70" s="785"/>
      <c r="F70" s="785"/>
      <c r="G70" s="785"/>
      <c r="H70" s="785"/>
      <c r="I70" s="796" t="s">
        <v>785</v>
      </c>
      <c r="J70" s="796"/>
      <c r="K70" s="796"/>
    </row>
    <row r="71" spans="4:11" ht="12.75" customHeight="1" x14ac:dyDescent="0.2">
      <c r="D71" s="786" t="str">
        <f>'CARATULA-DATOS'!B5</f>
        <v>REPOTENCIACIÓN Y MODERNIZACIÓN DE LAS REDES DE DISTRIBUCIÓN PRIMARIA Y SECUNDARIA DE LA CIUDADELA SANTA FE, DEL CANTÓN CHONE, CON EL REMPLAZO DE REDES AÉREAS DENUDAS DE BAJO VOLTAJE, POR REDES PREENSAMBLADAS.</v>
      </c>
      <c r="E71" s="786"/>
      <c r="F71" s="786"/>
      <c r="G71" s="786"/>
      <c r="H71" s="786"/>
      <c r="I71" s="796"/>
      <c r="J71" s="796"/>
      <c r="K71" s="796"/>
    </row>
    <row r="72" spans="4:11" x14ac:dyDescent="0.2">
      <c r="D72" s="786"/>
      <c r="E72" s="786"/>
      <c r="F72" s="786"/>
      <c r="G72" s="786"/>
      <c r="H72" s="786"/>
      <c r="I72" s="796"/>
      <c r="J72" s="796"/>
      <c r="K72" s="796"/>
    </row>
    <row r="73" spans="4:11" x14ac:dyDescent="0.2">
      <c r="D73" s="786"/>
      <c r="E73" s="786"/>
      <c r="F73" s="786"/>
      <c r="G73" s="786"/>
      <c r="H73" s="786"/>
      <c r="I73" s="795" t="s">
        <v>1113</v>
      </c>
      <c r="J73" s="795"/>
      <c r="K73" s="795"/>
    </row>
    <row r="74" spans="4:11" x14ac:dyDescent="0.2">
      <c r="D74" s="786"/>
      <c r="E74" s="786"/>
      <c r="F74" s="786"/>
      <c r="G74" s="786"/>
      <c r="H74" s="787"/>
      <c r="I74" s="789" t="s">
        <v>1112</v>
      </c>
      <c r="J74" s="790"/>
      <c r="K74" s="791"/>
    </row>
    <row r="75" spans="4:11" x14ac:dyDescent="0.2">
      <c r="D75" s="786"/>
      <c r="E75" s="786"/>
      <c r="F75" s="786"/>
      <c r="G75" s="786"/>
      <c r="H75" s="787"/>
      <c r="I75" s="792" t="s">
        <v>1139</v>
      </c>
      <c r="J75" s="793"/>
      <c r="K75" s="794"/>
    </row>
    <row r="174" spans="8:27" s="372" customFormat="1" ht="31.5" x14ac:dyDescent="0.2">
      <c r="H174" s="318" t="s">
        <v>576</v>
      </c>
      <c r="I174" s="318"/>
      <c r="J174" s="318" t="s">
        <v>447</v>
      </c>
      <c r="K174" s="318" t="s">
        <v>576</v>
      </c>
      <c r="L174" s="318"/>
      <c r="M174" s="318" t="s">
        <v>908</v>
      </c>
      <c r="N174" s="318" t="s">
        <v>870</v>
      </c>
      <c r="O174" s="318" t="s">
        <v>909</v>
      </c>
      <c r="P174" s="318" t="s">
        <v>871</v>
      </c>
      <c r="Q174" s="318" t="s">
        <v>910</v>
      </c>
      <c r="AA174" s="373"/>
    </row>
    <row r="175" spans="8:27" x14ac:dyDescent="0.2">
      <c r="H175" s="374" t="s">
        <v>647</v>
      </c>
      <c r="J175" s="374" t="s">
        <v>646</v>
      </c>
      <c r="K175" s="357" t="s">
        <v>647</v>
      </c>
      <c r="M175" s="357">
        <v>1127</v>
      </c>
      <c r="N175" s="357">
        <v>744</v>
      </c>
      <c r="O175" s="375">
        <f>N175/M175</f>
        <v>0.66015971606033719</v>
      </c>
      <c r="P175" s="357">
        <v>383</v>
      </c>
      <c r="Q175" s="375">
        <f>P175/M175</f>
        <v>0.33984028393966281</v>
      </c>
      <c r="Y175" s="357"/>
      <c r="AA175" s="358"/>
    </row>
    <row r="176" spans="8:27" x14ac:dyDescent="0.2">
      <c r="H176" s="374" t="s">
        <v>540</v>
      </c>
      <c r="J176" s="374" t="s">
        <v>657</v>
      </c>
      <c r="K176" s="374" t="s">
        <v>540</v>
      </c>
      <c r="M176" s="357">
        <v>56136</v>
      </c>
      <c r="N176" s="357">
        <v>52993</v>
      </c>
      <c r="O176" s="375">
        <f t="shared" ref="O176:O239" si="9">N176/M176</f>
        <v>0.94401097335043471</v>
      </c>
      <c r="P176" s="357">
        <v>3143</v>
      </c>
      <c r="Q176" s="375">
        <f t="shared" ref="Q176:Q239" si="10">P176/M176</f>
        <v>5.5989026649565343E-2</v>
      </c>
      <c r="Y176" s="357"/>
      <c r="AA176" s="358"/>
    </row>
    <row r="177" spans="8:27" x14ac:dyDescent="0.2">
      <c r="H177" s="374" t="s">
        <v>541</v>
      </c>
      <c r="J177" s="374" t="s">
        <v>658</v>
      </c>
      <c r="K177" s="374" t="s">
        <v>541</v>
      </c>
      <c r="M177" s="357">
        <v>56136</v>
      </c>
      <c r="N177" s="357">
        <v>52993</v>
      </c>
      <c r="O177" s="375">
        <f t="shared" si="9"/>
        <v>0.94401097335043471</v>
      </c>
      <c r="P177" s="357">
        <v>3143</v>
      </c>
      <c r="Q177" s="375">
        <f t="shared" si="10"/>
        <v>5.5989026649565343E-2</v>
      </c>
      <c r="Y177" s="357"/>
      <c r="AA177" s="358"/>
    </row>
    <row r="178" spans="8:27" s="377" customFormat="1" x14ac:dyDescent="0.2">
      <c r="H178" s="376" t="s">
        <v>595</v>
      </c>
      <c r="J178" s="376" t="s">
        <v>594</v>
      </c>
      <c r="K178" s="376" t="s">
        <v>595</v>
      </c>
      <c r="M178" s="357">
        <v>18450</v>
      </c>
      <c r="N178" s="357">
        <v>16528</v>
      </c>
      <c r="O178" s="375">
        <f t="shared" si="9"/>
        <v>0.89582655826558266</v>
      </c>
      <c r="P178" s="357">
        <v>1922</v>
      </c>
      <c r="Q178" s="375">
        <f t="shared" si="10"/>
        <v>0.10417344173441734</v>
      </c>
      <c r="AA178" s="358"/>
    </row>
    <row r="179" spans="8:27" x14ac:dyDescent="0.2">
      <c r="H179" s="374" t="s">
        <v>542</v>
      </c>
      <c r="J179" s="374" t="s">
        <v>659</v>
      </c>
      <c r="K179" s="357" t="s">
        <v>872</v>
      </c>
      <c r="M179" s="357">
        <v>3520</v>
      </c>
      <c r="N179" s="357">
        <v>3345</v>
      </c>
      <c r="O179" s="375">
        <f t="shared" si="9"/>
        <v>0.95028409090909094</v>
      </c>
      <c r="P179" s="357">
        <v>175</v>
      </c>
      <c r="Q179" s="375">
        <f t="shared" si="10"/>
        <v>4.9715909090909088E-2</v>
      </c>
      <c r="Y179" s="357"/>
      <c r="AA179" s="358"/>
    </row>
    <row r="180" spans="8:27" x14ac:dyDescent="0.2">
      <c r="H180" s="374" t="s">
        <v>543</v>
      </c>
      <c r="J180" s="374" t="s">
        <v>660</v>
      </c>
      <c r="K180" s="357" t="s">
        <v>543</v>
      </c>
      <c r="M180" s="357">
        <v>973</v>
      </c>
      <c r="N180" s="357">
        <v>889</v>
      </c>
      <c r="O180" s="375">
        <f t="shared" si="9"/>
        <v>0.91366906474820142</v>
      </c>
      <c r="P180" s="357">
        <v>84</v>
      </c>
      <c r="Q180" s="375">
        <f t="shared" si="10"/>
        <v>8.6330935251798566E-2</v>
      </c>
      <c r="Y180" s="357"/>
      <c r="AA180" s="358"/>
    </row>
    <row r="181" spans="8:27" x14ac:dyDescent="0.2">
      <c r="H181" s="374" t="s">
        <v>505</v>
      </c>
      <c r="J181" s="374" t="s">
        <v>613</v>
      </c>
      <c r="K181" s="357" t="s">
        <v>881</v>
      </c>
      <c r="M181" s="357">
        <v>977</v>
      </c>
      <c r="N181" s="357">
        <v>781</v>
      </c>
      <c r="O181" s="375">
        <f t="shared" si="9"/>
        <v>0.79938587512794268</v>
      </c>
      <c r="P181" s="357">
        <v>196</v>
      </c>
      <c r="Q181" s="375">
        <f t="shared" si="10"/>
        <v>0.20061412487205732</v>
      </c>
      <c r="Y181" s="357"/>
      <c r="AA181" s="358"/>
    </row>
    <row r="182" spans="8:27" x14ac:dyDescent="0.2">
      <c r="H182" s="374" t="s">
        <v>544</v>
      </c>
      <c r="J182" s="374" t="s">
        <v>661</v>
      </c>
      <c r="K182" s="374" t="s">
        <v>544</v>
      </c>
      <c r="M182" s="357">
        <v>56136</v>
      </c>
      <c r="N182" s="357">
        <v>52993</v>
      </c>
      <c r="O182" s="375">
        <f t="shared" si="9"/>
        <v>0.94401097335043471</v>
      </c>
      <c r="P182" s="357">
        <v>3143</v>
      </c>
      <c r="Q182" s="375">
        <f t="shared" si="10"/>
        <v>5.5989026649565343E-2</v>
      </c>
      <c r="Y182" s="357"/>
      <c r="AA182" s="358"/>
    </row>
    <row r="183" spans="8:27" x14ac:dyDescent="0.2">
      <c r="H183" s="374" t="s">
        <v>573</v>
      </c>
      <c r="J183" s="374" t="s">
        <v>693</v>
      </c>
      <c r="K183" s="357" t="s">
        <v>897</v>
      </c>
      <c r="M183" s="357">
        <v>1588</v>
      </c>
      <c r="N183" s="357">
        <v>1400</v>
      </c>
      <c r="O183" s="375">
        <f t="shared" si="9"/>
        <v>0.88161209068010071</v>
      </c>
      <c r="P183" s="357">
        <v>188</v>
      </c>
      <c r="Q183" s="375">
        <f t="shared" si="10"/>
        <v>0.11838790931989925</v>
      </c>
      <c r="Y183" s="357"/>
      <c r="AA183" s="358"/>
    </row>
    <row r="184" spans="8:27" x14ac:dyDescent="0.2">
      <c r="H184" s="374" t="s">
        <v>524</v>
      </c>
      <c r="J184" s="374" t="s">
        <v>633</v>
      </c>
      <c r="K184" s="374" t="s">
        <v>524</v>
      </c>
      <c r="M184" s="357">
        <v>17095</v>
      </c>
      <c r="N184" s="357">
        <v>15457</v>
      </c>
      <c r="O184" s="375">
        <f t="shared" si="9"/>
        <v>0.90418250950570345</v>
      </c>
      <c r="P184" s="357">
        <v>1638</v>
      </c>
      <c r="Q184" s="375">
        <f t="shared" si="10"/>
        <v>9.5817490494296581E-2</v>
      </c>
      <c r="Y184" s="357"/>
      <c r="AA184" s="358"/>
    </row>
    <row r="185" spans="8:27" x14ac:dyDescent="0.2">
      <c r="H185" s="374" t="s">
        <v>487</v>
      </c>
      <c r="J185" s="374" t="s">
        <v>577</v>
      </c>
      <c r="K185" s="357" t="s">
        <v>899</v>
      </c>
      <c r="M185" s="357">
        <v>987</v>
      </c>
      <c r="N185" s="357">
        <v>918</v>
      </c>
      <c r="O185" s="375">
        <f t="shared" si="9"/>
        <v>0.93009118541033431</v>
      </c>
      <c r="P185" s="357">
        <v>69</v>
      </c>
      <c r="Q185" s="375">
        <f t="shared" si="10"/>
        <v>6.9908814589665649E-2</v>
      </c>
      <c r="Y185" s="357"/>
      <c r="AA185" s="358"/>
    </row>
    <row r="186" spans="8:27" x14ac:dyDescent="0.2">
      <c r="H186" s="374" t="s">
        <v>649</v>
      </c>
      <c r="J186" s="374" t="s">
        <v>648</v>
      </c>
      <c r="K186" s="357" t="s">
        <v>649</v>
      </c>
      <c r="M186" s="357">
        <v>542</v>
      </c>
      <c r="N186" s="357">
        <v>369</v>
      </c>
      <c r="O186" s="375">
        <f t="shared" si="9"/>
        <v>0.68081180811808117</v>
      </c>
      <c r="P186" s="357">
        <v>173</v>
      </c>
      <c r="Q186" s="375">
        <f t="shared" si="10"/>
        <v>0.31918819188191883</v>
      </c>
      <c r="Y186" s="357"/>
      <c r="AA186" s="358"/>
    </row>
    <row r="187" spans="8:27" x14ac:dyDescent="0.2">
      <c r="H187" s="374" t="s">
        <v>563</v>
      </c>
      <c r="J187" s="374" t="s">
        <v>680</v>
      </c>
      <c r="K187" s="357" t="s">
        <v>563</v>
      </c>
      <c r="M187" s="357">
        <v>1920</v>
      </c>
      <c r="N187" s="357">
        <v>1844</v>
      </c>
      <c r="O187" s="375">
        <f t="shared" si="9"/>
        <v>0.9604166666666667</v>
      </c>
      <c r="P187" s="357">
        <v>76</v>
      </c>
      <c r="Q187" s="375">
        <f t="shared" si="10"/>
        <v>3.9583333333333331E-2</v>
      </c>
      <c r="Y187" s="357"/>
      <c r="AA187" s="358"/>
    </row>
    <row r="188" spans="8:27" x14ac:dyDescent="0.2">
      <c r="H188" s="374" t="s">
        <v>574</v>
      </c>
      <c r="J188" s="374" t="s">
        <v>694</v>
      </c>
      <c r="K188" s="357" t="s">
        <v>574</v>
      </c>
      <c r="M188" s="357">
        <v>938</v>
      </c>
      <c r="N188" s="357">
        <v>859</v>
      </c>
      <c r="O188" s="375">
        <f t="shared" si="9"/>
        <v>0.91577825159914716</v>
      </c>
      <c r="P188" s="357">
        <v>79</v>
      </c>
      <c r="Q188" s="375">
        <f t="shared" si="10"/>
        <v>8.4221748400852878E-2</v>
      </c>
      <c r="Y188" s="357"/>
      <c r="AA188" s="358"/>
    </row>
    <row r="189" spans="8:27" x14ac:dyDescent="0.2">
      <c r="H189" s="374" t="s">
        <v>688</v>
      </c>
      <c r="J189" s="374" t="s">
        <v>687</v>
      </c>
      <c r="K189" s="357" t="s">
        <v>894</v>
      </c>
      <c r="M189" s="357">
        <v>6767</v>
      </c>
      <c r="N189" s="357">
        <v>6063</v>
      </c>
      <c r="O189" s="375">
        <f t="shared" si="9"/>
        <v>0.89596571597458252</v>
      </c>
      <c r="P189" s="357">
        <v>704</v>
      </c>
      <c r="Q189" s="375">
        <f t="shared" si="10"/>
        <v>0.10403428402541746</v>
      </c>
      <c r="Y189" s="357"/>
      <c r="AA189" s="358"/>
    </row>
    <row r="190" spans="8:27" x14ac:dyDescent="0.2">
      <c r="H190" s="374" t="s">
        <v>569</v>
      </c>
      <c r="J190" s="374" t="s">
        <v>689</v>
      </c>
      <c r="K190" s="357" t="s">
        <v>894</v>
      </c>
      <c r="M190" s="357">
        <v>6767</v>
      </c>
      <c r="N190" s="357">
        <v>6063</v>
      </c>
      <c r="O190" s="375">
        <f t="shared" si="9"/>
        <v>0.89596571597458252</v>
      </c>
      <c r="P190" s="357">
        <v>704</v>
      </c>
      <c r="Q190" s="375">
        <f t="shared" si="10"/>
        <v>0.10403428402541746</v>
      </c>
      <c r="Y190" s="357"/>
      <c r="AA190" s="358"/>
    </row>
    <row r="191" spans="8:27" x14ac:dyDescent="0.2">
      <c r="H191" s="374" t="s">
        <v>537</v>
      </c>
      <c r="J191" s="374" t="s">
        <v>654</v>
      </c>
      <c r="K191" s="357" t="s">
        <v>537</v>
      </c>
      <c r="M191" s="357">
        <v>1692</v>
      </c>
      <c r="N191" s="357">
        <v>592</v>
      </c>
      <c r="O191" s="375">
        <f t="shared" si="9"/>
        <v>0.34988179669030733</v>
      </c>
      <c r="P191" s="357">
        <v>1100</v>
      </c>
      <c r="Q191" s="375">
        <f t="shared" si="10"/>
        <v>0.65011820330969272</v>
      </c>
      <c r="Y191" s="357"/>
      <c r="AA191" s="358"/>
    </row>
    <row r="192" spans="8:27" x14ac:dyDescent="0.2">
      <c r="H192" s="374" t="s">
        <v>488</v>
      </c>
      <c r="J192" s="374" t="s">
        <v>578</v>
      </c>
      <c r="K192" s="357" t="s">
        <v>488</v>
      </c>
      <c r="M192" s="357">
        <v>1266</v>
      </c>
      <c r="N192" s="357">
        <v>1151</v>
      </c>
      <c r="O192" s="375">
        <f t="shared" si="9"/>
        <v>0.9091627172195893</v>
      </c>
      <c r="P192" s="357">
        <v>115</v>
      </c>
      <c r="Q192" s="375">
        <f t="shared" si="10"/>
        <v>9.0837282780410741E-2</v>
      </c>
      <c r="Y192" s="357"/>
      <c r="AA192" s="358"/>
    </row>
    <row r="193" spans="8:27" x14ac:dyDescent="0.2">
      <c r="H193" s="374" t="s">
        <v>494</v>
      </c>
      <c r="J193" s="374" t="s">
        <v>584</v>
      </c>
      <c r="K193" s="357" t="s">
        <v>876</v>
      </c>
      <c r="M193" s="357">
        <v>1115</v>
      </c>
      <c r="N193" s="357">
        <v>932</v>
      </c>
      <c r="O193" s="375">
        <f t="shared" si="9"/>
        <v>0.83587443946188345</v>
      </c>
      <c r="P193" s="357">
        <v>183</v>
      </c>
      <c r="Q193" s="375">
        <f t="shared" si="10"/>
        <v>0.16412556053811658</v>
      </c>
      <c r="Y193" s="357"/>
      <c r="AA193" s="358"/>
    </row>
    <row r="194" spans="8:27" x14ac:dyDescent="0.2">
      <c r="H194" s="374" t="s">
        <v>491</v>
      </c>
      <c r="J194" s="374" t="s">
        <v>581</v>
      </c>
      <c r="K194" s="357" t="s">
        <v>875</v>
      </c>
      <c r="M194" s="357">
        <v>8037</v>
      </c>
      <c r="N194" s="357">
        <v>7314</v>
      </c>
      <c r="O194" s="375">
        <f t="shared" si="9"/>
        <v>0.9100410600970511</v>
      </c>
      <c r="P194" s="357">
        <v>723</v>
      </c>
      <c r="Q194" s="375">
        <f t="shared" si="10"/>
        <v>8.9958939902948856E-2</v>
      </c>
      <c r="Y194" s="357"/>
      <c r="AA194" s="358"/>
    </row>
    <row r="195" spans="8:27" x14ac:dyDescent="0.2">
      <c r="H195" s="374" t="s">
        <v>532</v>
      </c>
      <c r="J195" s="374" t="s">
        <v>641</v>
      </c>
      <c r="K195" s="357" t="s">
        <v>888</v>
      </c>
      <c r="M195" s="357">
        <v>2360</v>
      </c>
      <c r="N195" s="357">
        <v>1875</v>
      </c>
      <c r="O195" s="375">
        <f t="shared" si="9"/>
        <v>0.79449152542372881</v>
      </c>
      <c r="P195" s="357">
        <v>485</v>
      </c>
      <c r="Q195" s="375">
        <f t="shared" si="10"/>
        <v>0.20550847457627119</v>
      </c>
      <c r="Y195" s="357"/>
      <c r="AA195" s="358"/>
    </row>
    <row r="196" spans="8:27" x14ac:dyDescent="0.2">
      <c r="H196" s="374" t="s">
        <v>561</v>
      </c>
      <c r="J196" s="374" t="s">
        <v>678</v>
      </c>
      <c r="K196" s="357" t="s">
        <v>561</v>
      </c>
      <c r="M196" s="357">
        <v>1695</v>
      </c>
      <c r="N196" s="357">
        <v>1426</v>
      </c>
      <c r="O196" s="375">
        <f t="shared" si="9"/>
        <v>0.8412979351032448</v>
      </c>
      <c r="P196" s="357">
        <v>269</v>
      </c>
      <c r="Q196" s="375">
        <f t="shared" si="10"/>
        <v>0.15870206489675517</v>
      </c>
      <c r="Y196" s="357"/>
      <c r="AA196" s="358"/>
    </row>
    <row r="197" spans="8:27" x14ac:dyDescent="0.2">
      <c r="H197" s="374" t="s">
        <v>495</v>
      </c>
      <c r="J197" s="374" t="s">
        <v>585</v>
      </c>
      <c r="K197" s="357" t="s">
        <v>495</v>
      </c>
      <c r="M197" s="357">
        <v>2447</v>
      </c>
      <c r="N197" s="357">
        <v>2209</v>
      </c>
      <c r="O197" s="375">
        <f t="shared" si="9"/>
        <v>0.90273804658765833</v>
      </c>
      <c r="P197" s="357">
        <v>238</v>
      </c>
      <c r="Q197" s="375">
        <f t="shared" si="10"/>
        <v>9.7261953412341645E-2</v>
      </c>
      <c r="Y197" s="357"/>
      <c r="AA197" s="358"/>
    </row>
    <row r="198" spans="8:27" x14ac:dyDescent="0.2">
      <c r="H198" s="374" t="s">
        <v>533</v>
      </c>
      <c r="J198" s="374" t="s">
        <v>642</v>
      </c>
      <c r="K198" s="357" t="s">
        <v>533</v>
      </c>
      <c r="M198" s="357">
        <v>1936</v>
      </c>
      <c r="N198" s="357">
        <v>1488</v>
      </c>
      <c r="O198" s="375">
        <f t="shared" si="9"/>
        <v>0.76859504132231404</v>
      </c>
      <c r="P198" s="357">
        <v>448</v>
      </c>
      <c r="Q198" s="375">
        <f t="shared" si="10"/>
        <v>0.23140495867768596</v>
      </c>
      <c r="Y198" s="357"/>
      <c r="AA198" s="358"/>
    </row>
    <row r="199" spans="8:27" x14ac:dyDescent="0.2">
      <c r="H199" s="374" t="s">
        <v>570</v>
      </c>
      <c r="J199" s="374" t="s">
        <v>690</v>
      </c>
      <c r="K199" s="357" t="s">
        <v>895</v>
      </c>
      <c r="M199" s="357">
        <v>5544</v>
      </c>
      <c r="N199" s="357">
        <v>4997</v>
      </c>
      <c r="O199" s="375">
        <f t="shared" si="9"/>
        <v>0.90133477633477632</v>
      </c>
      <c r="P199" s="357">
        <v>547</v>
      </c>
      <c r="Q199" s="375">
        <f t="shared" si="10"/>
        <v>9.8665223665223664E-2</v>
      </c>
      <c r="Y199" s="357"/>
      <c r="AA199" s="358"/>
    </row>
    <row r="200" spans="8:27" x14ac:dyDescent="0.2">
      <c r="H200" s="374" t="s">
        <v>496</v>
      </c>
      <c r="J200" s="374" t="s">
        <v>586</v>
      </c>
      <c r="K200" s="357" t="s">
        <v>496</v>
      </c>
      <c r="M200" s="357">
        <v>1433</v>
      </c>
      <c r="N200" s="357">
        <v>817</v>
      </c>
      <c r="O200" s="375">
        <f t="shared" si="9"/>
        <v>0.57013258897418007</v>
      </c>
      <c r="P200" s="357">
        <v>616</v>
      </c>
      <c r="Q200" s="375">
        <f t="shared" si="10"/>
        <v>0.42986741102581993</v>
      </c>
      <c r="Y200" s="357"/>
      <c r="AA200" s="358"/>
    </row>
    <row r="201" spans="8:27" x14ac:dyDescent="0.2">
      <c r="H201" s="374" t="s">
        <v>545</v>
      </c>
      <c r="J201" s="374" t="s">
        <v>662</v>
      </c>
      <c r="K201" s="357" t="s">
        <v>545</v>
      </c>
      <c r="M201" s="357">
        <v>600</v>
      </c>
      <c r="N201" s="357">
        <v>572</v>
      </c>
      <c r="O201" s="375">
        <f t="shared" si="9"/>
        <v>0.95333333333333337</v>
      </c>
      <c r="P201" s="357">
        <v>28</v>
      </c>
      <c r="Q201" s="375">
        <f t="shared" si="10"/>
        <v>4.6666666666666669E-2</v>
      </c>
      <c r="Y201" s="357"/>
      <c r="AA201" s="358"/>
    </row>
    <row r="202" spans="8:27" x14ac:dyDescent="0.2">
      <c r="H202" s="374" t="s">
        <v>497</v>
      </c>
      <c r="J202" s="374" t="s">
        <v>587</v>
      </c>
      <c r="K202" s="357" t="s">
        <v>497</v>
      </c>
      <c r="M202" s="357">
        <v>18220</v>
      </c>
      <c r="N202" s="357">
        <v>15805</v>
      </c>
      <c r="O202" s="375">
        <f t="shared" si="9"/>
        <v>0.86745334796926454</v>
      </c>
      <c r="P202" s="357">
        <v>2415</v>
      </c>
      <c r="Q202" s="375">
        <f t="shared" si="10"/>
        <v>0.13254665203073546</v>
      </c>
      <c r="Y202" s="357"/>
      <c r="AA202" s="358"/>
    </row>
    <row r="203" spans="8:27" x14ac:dyDescent="0.2">
      <c r="H203" s="374" t="s">
        <v>498</v>
      </c>
      <c r="J203" s="374" t="s">
        <v>588</v>
      </c>
      <c r="K203" s="357" t="s">
        <v>497</v>
      </c>
      <c r="M203" s="357">
        <v>18220</v>
      </c>
      <c r="N203" s="357">
        <v>15805</v>
      </c>
      <c r="O203" s="375">
        <f t="shared" si="9"/>
        <v>0.86745334796926454</v>
      </c>
      <c r="P203" s="357">
        <v>2415</v>
      </c>
      <c r="Q203" s="375">
        <f t="shared" si="10"/>
        <v>0.13254665203073546</v>
      </c>
      <c r="Y203" s="357"/>
      <c r="AA203" s="358"/>
    </row>
    <row r="204" spans="8:27" x14ac:dyDescent="0.2">
      <c r="H204" s="374" t="s">
        <v>651</v>
      </c>
      <c r="J204" s="374" t="s">
        <v>650</v>
      </c>
      <c r="K204" s="357" t="s">
        <v>901</v>
      </c>
      <c r="M204" s="357">
        <v>2889</v>
      </c>
      <c r="N204" s="357">
        <v>1760</v>
      </c>
      <c r="O204" s="375">
        <f t="shared" si="9"/>
        <v>0.60920733817930084</v>
      </c>
      <c r="P204" s="357">
        <v>1129</v>
      </c>
      <c r="Q204" s="375">
        <f t="shared" si="10"/>
        <v>0.39079266182069922</v>
      </c>
      <c r="Y204" s="357"/>
      <c r="AA204" s="358"/>
    </row>
    <row r="205" spans="8:27" x14ac:dyDescent="0.2">
      <c r="H205" s="374" t="s">
        <v>546</v>
      </c>
      <c r="J205" s="374" t="s">
        <v>663</v>
      </c>
      <c r="K205" s="374" t="s">
        <v>546</v>
      </c>
      <c r="M205" s="357">
        <v>56136</v>
      </c>
      <c r="N205" s="357">
        <v>52993</v>
      </c>
      <c r="O205" s="375">
        <f t="shared" si="9"/>
        <v>0.94401097335043471</v>
      </c>
      <c r="P205" s="357">
        <v>3143</v>
      </c>
      <c r="Q205" s="375">
        <f t="shared" si="10"/>
        <v>5.5989026649565343E-2</v>
      </c>
      <c r="Y205" s="357"/>
      <c r="AA205" s="358"/>
    </row>
    <row r="206" spans="8:27" x14ac:dyDescent="0.2">
      <c r="H206" s="374" t="s">
        <v>499</v>
      </c>
      <c r="J206" s="374" t="s">
        <v>589</v>
      </c>
      <c r="K206" s="357" t="s">
        <v>499</v>
      </c>
      <c r="M206" s="357">
        <v>1530</v>
      </c>
      <c r="N206" s="357">
        <v>1241</v>
      </c>
      <c r="O206" s="375">
        <f t="shared" si="9"/>
        <v>0.81111111111111112</v>
      </c>
      <c r="P206" s="357">
        <v>289</v>
      </c>
      <c r="Q206" s="375">
        <f t="shared" si="10"/>
        <v>0.18888888888888888</v>
      </c>
      <c r="Y206" s="357"/>
      <c r="AA206" s="358"/>
    </row>
    <row r="207" spans="8:27" x14ac:dyDescent="0.2">
      <c r="H207" s="374" t="s">
        <v>547</v>
      </c>
      <c r="J207" s="374" t="s">
        <v>664</v>
      </c>
      <c r="K207" s="357" t="s">
        <v>547</v>
      </c>
      <c r="M207" s="357">
        <v>3636</v>
      </c>
      <c r="N207" s="357">
        <v>3273</v>
      </c>
      <c r="O207" s="375">
        <f t="shared" si="9"/>
        <v>0.90016501650165015</v>
      </c>
      <c r="P207" s="357">
        <v>363</v>
      </c>
      <c r="Q207" s="375">
        <f t="shared" si="10"/>
        <v>9.9834983498349836E-2</v>
      </c>
      <c r="Y207" s="357"/>
      <c r="AA207" s="358"/>
    </row>
    <row r="208" spans="8:27" s="377" customFormat="1" x14ac:dyDescent="0.2">
      <c r="H208" s="376" t="s">
        <v>506</v>
      </c>
      <c r="J208" s="376" t="s">
        <v>614</v>
      </c>
      <c r="K208" s="376" t="s">
        <v>506</v>
      </c>
      <c r="M208" s="357">
        <v>12400</v>
      </c>
      <c r="N208" s="357">
        <v>11130</v>
      </c>
      <c r="O208" s="375">
        <f t="shared" si="9"/>
        <v>0.89758064516129032</v>
      </c>
      <c r="P208" s="357">
        <v>1270</v>
      </c>
      <c r="Q208" s="375">
        <f t="shared" si="10"/>
        <v>0.10241935483870968</v>
      </c>
      <c r="AA208" s="358"/>
    </row>
    <row r="209" spans="7:27" x14ac:dyDescent="0.2">
      <c r="H209" s="374" t="s">
        <v>507</v>
      </c>
      <c r="J209" s="374" t="s">
        <v>615</v>
      </c>
      <c r="K209" s="357" t="s">
        <v>882</v>
      </c>
      <c r="M209" s="357">
        <v>2013</v>
      </c>
      <c r="N209" s="357">
        <v>1726</v>
      </c>
      <c r="O209" s="375">
        <f t="shared" si="9"/>
        <v>0.85742672627918526</v>
      </c>
      <c r="P209" s="357">
        <v>287</v>
      </c>
      <c r="Q209" s="375">
        <f t="shared" si="10"/>
        <v>0.14257327372081471</v>
      </c>
      <c r="Y209" s="357"/>
      <c r="AA209" s="358"/>
    </row>
    <row r="210" spans="7:27" x14ac:dyDescent="0.2">
      <c r="H210" s="374" t="s">
        <v>597</v>
      </c>
      <c r="J210" s="374" t="s">
        <v>596</v>
      </c>
      <c r="K210" s="357" t="s">
        <v>597</v>
      </c>
      <c r="M210" s="357">
        <v>18450</v>
      </c>
      <c r="N210" s="357">
        <v>16528</v>
      </c>
      <c r="O210" s="375">
        <f t="shared" si="9"/>
        <v>0.89582655826558266</v>
      </c>
      <c r="P210" s="357">
        <v>1922</v>
      </c>
      <c r="Q210" s="375">
        <f t="shared" si="10"/>
        <v>0.10417344173441734</v>
      </c>
      <c r="Y210" s="357"/>
      <c r="AA210" s="358"/>
    </row>
    <row r="211" spans="7:27" x14ac:dyDescent="0.2">
      <c r="H211" s="374" t="s">
        <v>599</v>
      </c>
      <c r="J211" s="374" t="s">
        <v>598</v>
      </c>
      <c r="K211" s="357" t="s">
        <v>597</v>
      </c>
      <c r="M211" s="357">
        <v>18450</v>
      </c>
      <c r="N211" s="357">
        <v>16528</v>
      </c>
      <c r="O211" s="375">
        <f t="shared" si="9"/>
        <v>0.89582655826558266</v>
      </c>
      <c r="P211" s="357">
        <v>1922</v>
      </c>
      <c r="Q211" s="375">
        <f t="shared" si="10"/>
        <v>0.10417344173441734</v>
      </c>
      <c r="Y211" s="357"/>
      <c r="AA211" s="358"/>
    </row>
    <row r="212" spans="7:27" x14ac:dyDescent="0.2">
      <c r="H212" s="374" t="s">
        <v>525</v>
      </c>
      <c r="J212" s="374" t="s">
        <v>634</v>
      </c>
      <c r="K212" s="374" t="s">
        <v>525</v>
      </c>
      <c r="M212" s="357">
        <v>17095</v>
      </c>
      <c r="N212" s="357">
        <v>15457</v>
      </c>
      <c r="O212" s="375">
        <f t="shared" si="9"/>
        <v>0.90418250950570345</v>
      </c>
      <c r="P212" s="357">
        <v>1638</v>
      </c>
      <c r="Q212" s="375">
        <f t="shared" si="10"/>
        <v>9.5817490494296581E-2</v>
      </c>
      <c r="Y212" s="357"/>
      <c r="AA212" s="358"/>
    </row>
    <row r="213" spans="7:27" x14ac:dyDescent="0.2">
      <c r="G213" s="357" t="s">
        <v>497</v>
      </c>
      <c r="H213" s="374" t="s">
        <v>500</v>
      </c>
      <c r="J213" s="374" t="s">
        <v>590</v>
      </c>
      <c r="K213" s="357" t="s">
        <v>500</v>
      </c>
      <c r="M213" s="357">
        <v>1944</v>
      </c>
      <c r="N213" s="357">
        <v>1621</v>
      </c>
      <c r="O213" s="375">
        <f t="shared" si="9"/>
        <v>0.83384773662551437</v>
      </c>
      <c r="P213" s="357">
        <v>323</v>
      </c>
      <c r="Q213" s="375">
        <f t="shared" si="10"/>
        <v>0.1661522633744856</v>
      </c>
      <c r="Y213" s="357"/>
      <c r="AA213" s="358"/>
    </row>
    <row r="214" spans="7:27" x14ac:dyDescent="0.2">
      <c r="G214" s="357" t="s">
        <v>518</v>
      </c>
      <c r="H214" s="374" t="s">
        <v>500</v>
      </c>
      <c r="J214" s="374" t="s">
        <v>625</v>
      </c>
      <c r="K214" s="374" t="s">
        <v>500</v>
      </c>
      <c r="M214" s="357">
        <v>55196</v>
      </c>
      <c r="N214" s="357">
        <v>52919</v>
      </c>
      <c r="O214" s="375">
        <f t="shared" si="9"/>
        <v>0.95874701065294587</v>
      </c>
      <c r="P214" s="357">
        <v>2277</v>
      </c>
      <c r="Q214" s="375">
        <f t="shared" si="10"/>
        <v>4.1252989347054132E-2</v>
      </c>
      <c r="Y214" s="357"/>
      <c r="AA214" s="358"/>
    </row>
    <row r="215" spans="7:27" x14ac:dyDescent="0.2">
      <c r="H215" s="374" t="s">
        <v>605</v>
      </c>
      <c r="J215" s="374" t="s">
        <v>604</v>
      </c>
      <c r="K215" s="357" t="s">
        <v>878</v>
      </c>
      <c r="M215" s="357">
        <v>4486</v>
      </c>
      <c r="N215" s="357">
        <v>3495</v>
      </c>
      <c r="O215" s="375">
        <f t="shared" si="9"/>
        <v>0.77909050378956757</v>
      </c>
      <c r="P215" s="357">
        <v>991</v>
      </c>
      <c r="Q215" s="375">
        <f t="shared" si="10"/>
        <v>0.22090949621043246</v>
      </c>
      <c r="Y215" s="357"/>
      <c r="AA215" s="358"/>
    </row>
    <row r="216" spans="7:27" x14ac:dyDescent="0.2">
      <c r="H216" s="374" t="s">
        <v>548</v>
      </c>
      <c r="J216" s="374" t="s">
        <v>665</v>
      </c>
      <c r="K216" s="374" t="s">
        <v>548</v>
      </c>
      <c r="M216" s="357">
        <v>56136</v>
      </c>
      <c r="N216" s="357">
        <v>52993</v>
      </c>
      <c r="O216" s="375">
        <f t="shared" si="9"/>
        <v>0.94401097335043471</v>
      </c>
      <c r="P216" s="357">
        <v>3143</v>
      </c>
      <c r="Q216" s="375">
        <f t="shared" si="10"/>
        <v>5.5989026649565343E-2</v>
      </c>
      <c r="Y216" s="357"/>
      <c r="AA216" s="358"/>
    </row>
    <row r="217" spans="7:27" x14ac:dyDescent="0.2">
      <c r="H217" s="374" t="s">
        <v>526</v>
      </c>
      <c r="J217" s="374" t="s">
        <v>635</v>
      </c>
      <c r="K217" s="374" t="s">
        <v>526</v>
      </c>
      <c r="M217" s="357">
        <v>17095</v>
      </c>
      <c r="N217" s="357">
        <v>15457</v>
      </c>
      <c r="O217" s="375">
        <f t="shared" si="9"/>
        <v>0.90418250950570345</v>
      </c>
      <c r="P217" s="357">
        <v>1638</v>
      </c>
      <c r="Q217" s="375">
        <f t="shared" si="10"/>
        <v>9.5817490494296581E-2</v>
      </c>
      <c r="Y217" s="357"/>
      <c r="AA217" s="358"/>
    </row>
    <row r="218" spans="7:27" x14ac:dyDescent="0.2">
      <c r="H218" s="374" t="s">
        <v>534</v>
      </c>
      <c r="J218" s="374" t="s">
        <v>643</v>
      </c>
      <c r="K218" s="357" t="s">
        <v>534</v>
      </c>
      <c r="M218" s="357">
        <v>1077</v>
      </c>
      <c r="N218" s="357">
        <v>804</v>
      </c>
      <c r="O218" s="375">
        <f t="shared" si="9"/>
        <v>0.74651810584958223</v>
      </c>
      <c r="P218" s="357">
        <v>273</v>
      </c>
      <c r="Q218" s="375">
        <f t="shared" si="10"/>
        <v>0.25348189415041783</v>
      </c>
      <c r="Y218" s="357"/>
      <c r="AA218" s="358"/>
    </row>
    <row r="219" spans="7:27" x14ac:dyDescent="0.2">
      <c r="H219" s="374" t="s">
        <v>564</v>
      </c>
      <c r="J219" s="374" t="s">
        <v>681</v>
      </c>
      <c r="K219" s="357" t="s">
        <v>893</v>
      </c>
      <c r="M219" s="357">
        <v>1356</v>
      </c>
      <c r="N219" s="357">
        <v>1274</v>
      </c>
      <c r="O219" s="375">
        <f t="shared" si="9"/>
        <v>0.93952802359882004</v>
      </c>
      <c r="P219" s="357">
        <v>82</v>
      </c>
      <c r="Q219" s="375">
        <f t="shared" si="10"/>
        <v>6.047197640117994E-2</v>
      </c>
      <c r="Y219" s="357"/>
      <c r="AA219" s="358"/>
    </row>
    <row r="220" spans="7:27" x14ac:dyDescent="0.2">
      <c r="H220" s="374" t="s">
        <v>611</v>
      </c>
      <c r="J220" s="374" t="s">
        <v>610</v>
      </c>
      <c r="K220" s="357" t="s">
        <v>904</v>
      </c>
      <c r="M220" s="357">
        <v>3804</v>
      </c>
      <c r="N220" s="357">
        <v>3261</v>
      </c>
      <c r="O220" s="375">
        <f t="shared" si="9"/>
        <v>0.85725552050473186</v>
      </c>
      <c r="P220" s="357">
        <v>543</v>
      </c>
      <c r="Q220" s="375">
        <f t="shared" si="10"/>
        <v>0.14274447949526814</v>
      </c>
      <c r="Y220" s="357"/>
      <c r="AA220" s="358"/>
    </row>
    <row r="221" spans="7:27" x14ac:dyDescent="0.2">
      <c r="H221" s="374" t="s">
        <v>504</v>
      </c>
      <c r="J221" s="374" t="s">
        <v>612</v>
      </c>
      <c r="K221" s="357" t="s">
        <v>905</v>
      </c>
      <c r="M221" s="357">
        <v>4373</v>
      </c>
      <c r="N221" s="357">
        <v>3975</v>
      </c>
      <c r="O221" s="375">
        <f t="shared" si="9"/>
        <v>0.90898696546992908</v>
      </c>
      <c r="P221" s="357">
        <v>398</v>
      </c>
      <c r="Q221" s="375">
        <f t="shared" si="10"/>
        <v>9.1013034530070883E-2</v>
      </c>
      <c r="Y221" s="357"/>
      <c r="AA221" s="358"/>
    </row>
    <row r="222" spans="7:27" x14ac:dyDescent="0.2">
      <c r="H222" s="374" t="s">
        <v>508</v>
      </c>
      <c r="J222" s="374" t="s">
        <v>616</v>
      </c>
      <c r="K222" s="357" t="s">
        <v>880</v>
      </c>
      <c r="M222" s="357">
        <v>12400</v>
      </c>
      <c r="N222" s="357">
        <v>11130</v>
      </c>
      <c r="O222" s="375">
        <f t="shared" si="9"/>
        <v>0.89758064516129032</v>
      </c>
      <c r="P222" s="357">
        <v>1270</v>
      </c>
      <c r="Q222" s="375">
        <f t="shared" si="10"/>
        <v>0.10241935483870968</v>
      </c>
      <c r="Y222" s="357"/>
      <c r="AA222" s="358"/>
    </row>
    <row r="223" spans="7:27" x14ac:dyDescent="0.2">
      <c r="H223" s="374" t="s">
        <v>509</v>
      </c>
      <c r="J223" s="374" t="s">
        <v>617</v>
      </c>
      <c r="K223" s="357" t="s">
        <v>509</v>
      </c>
      <c r="M223" s="357">
        <v>589</v>
      </c>
      <c r="N223" s="357">
        <v>480</v>
      </c>
      <c r="O223" s="375">
        <f t="shared" si="9"/>
        <v>0.81494057724957558</v>
      </c>
      <c r="P223" s="357">
        <v>109</v>
      </c>
      <c r="Q223" s="375">
        <f t="shared" si="10"/>
        <v>0.18505942275042445</v>
      </c>
      <c r="Y223" s="357"/>
      <c r="AA223" s="358"/>
    </row>
    <row r="224" spans="7:27" x14ac:dyDescent="0.2">
      <c r="H224" s="374" t="s">
        <v>516</v>
      </c>
      <c r="J224" s="374" t="s">
        <v>624</v>
      </c>
      <c r="K224" s="357" t="s">
        <v>885</v>
      </c>
      <c r="M224" s="357">
        <v>4763</v>
      </c>
      <c r="N224" s="357">
        <v>4160</v>
      </c>
      <c r="O224" s="375">
        <f t="shared" si="9"/>
        <v>0.87339911820281335</v>
      </c>
      <c r="P224" s="357">
        <v>603</v>
      </c>
      <c r="Q224" s="375">
        <f t="shared" si="10"/>
        <v>0.12660088179718665</v>
      </c>
      <c r="Y224" s="357"/>
      <c r="AA224" s="358"/>
    </row>
    <row r="225" spans="8:27" x14ac:dyDescent="0.2">
      <c r="H225" s="374" t="s">
        <v>527</v>
      </c>
      <c r="J225" s="374" t="s">
        <v>636</v>
      </c>
      <c r="K225" s="357" t="s">
        <v>527</v>
      </c>
      <c r="M225" s="357">
        <v>646</v>
      </c>
      <c r="N225" s="357">
        <v>586</v>
      </c>
      <c r="O225" s="375">
        <f t="shared" si="9"/>
        <v>0.90712074303405577</v>
      </c>
      <c r="P225" s="357">
        <v>60</v>
      </c>
      <c r="Q225" s="375">
        <f t="shared" si="10"/>
        <v>9.2879256965944276E-2</v>
      </c>
      <c r="Y225" s="357"/>
      <c r="AA225" s="358"/>
    </row>
    <row r="226" spans="8:27" x14ac:dyDescent="0.2">
      <c r="H226" s="374" t="s">
        <v>510</v>
      </c>
      <c r="J226" s="374" t="s">
        <v>618</v>
      </c>
      <c r="K226" s="357" t="s">
        <v>883</v>
      </c>
      <c r="M226" s="357">
        <v>586</v>
      </c>
      <c r="N226" s="357">
        <v>473</v>
      </c>
      <c r="O226" s="375">
        <f t="shared" si="9"/>
        <v>0.80716723549488056</v>
      </c>
      <c r="P226" s="357">
        <v>113</v>
      </c>
      <c r="Q226" s="375">
        <f t="shared" si="10"/>
        <v>0.19283276450511946</v>
      </c>
      <c r="Y226" s="357"/>
      <c r="AA226" s="358"/>
    </row>
    <row r="227" spans="8:27" x14ac:dyDescent="0.2">
      <c r="H227" s="374" t="s">
        <v>510</v>
      </c>
      <c r="J227" s="374" t="s">
        <v>682</v>
      </c>
      <c r="K227" s="357" t="s">
        <v>883</v>
      </c>
      <c r="M227" s="357">
        <v>1458</v>
      </c>
      <c r="N227" s="357">
        <v>1312</v>
      </c>
      <c r="O227" s="375">
        <f t="shared" si="9"/>
        <v>0.89986282578875176</v>
      </c>
      <c r="P227" s="357">
        <v>146</v>
      </c>
      <c r="Q227" s="375">
        <f t="shared" si="10"/>
        <v>0.10013717421124829</v>
      </c>
      <c r="Y227" s="357"/>
      <c r="AA227" s="358"/>
    </row>
    <row r="228" spans="8:27" x14ac:dyDescent="0.2">
      <c r="H228" s="374" t="s">
        <v>535</v>
      </c>
      <c r="J228" s="374" t="s">
        <v>644</v>
      </c>
      <c r="K228" s="357" t="s">
        <v>535</v>
      </c>
      <c r="M228" s="357">
        <v>1299</v>
      </c>
      <c r="N228" s="357">
        <v>1031</v>
      </c>
      <c r="O228" s="375">
        <f t="shared" si="9"/>
        <v>0.79368745188606615</v>
      </c>
      <c r="P228" s="357">
        <v>268</v>
      </c>
      <c r="Q228" s="375">
        <f t="shared" si="10"/>
        <v>0.20631254811393379</v>
      </c>
      <c r="Y228" s="357"/>
      <c r="AA228" s="358"/>
    </row>
    <row r="229" spans="8:27" x14ac:dyDescent="0.2">
      <c r="H229" s="374" t="s">
        <v>571</v>
      </c>
      <c r="J229" s="374" t="s">
        <v>691</v>
      </c>
      <c r="K229" s="374" t="s">
        <v>571</v>
      </c>
      <c r="M229" s="357">
        <v>6767</v>
      </c>
      <c r="N229" s="357">
        <v>6063</v>
      </c>
      <c r="O229" s="375">
        <f t="shared" si="9"/>
        <v>0.89596571597458252</v>
      </c>
      <c r="P229" s="357">
        <v>704</v>
      </c>
      <c r="Q229" s="375">
        <f t="shared" si="10"/>
        <v>0.10403428402541746</v>
      </c>
      <c r="Y229" s="357"/>
      <c r="AA229" s="358"/>
    </row>
    <row r="230" spans="8:27" x14ac:dyDescent="0.2">
      <c r="H230" s="374" t="s">
        <v>528</v>
      </c>
      <c r="J230" s="374" t="s">
        <v>637</v>
      </c>
      <c r="K230" s="374" t="s">
        <v>528</v>
      </c>
      <c r="M230" s="357">
        <v>17095</v>
      </c>
      <c r="N230" s="357">
        <v>15457</v>
      </c>
      <c r="O230" s="375">
        <f t="shared" si="9"/>
        <v>0.90418250950570345</v>
      </c>
      <c r="P230" s="357">
        <v>1638</v>
      </c>
      <c r="Q230" s="375">
        <f t="shared" si="10"/>
        <v>9.5817490494296581E-2</v>
      </c>
      <c r="Y230" s="357"/>
      <c r="AA230" s="358"/>
    </row>
    <row r="231" spans="8:27" x14ac:dyDescent="0.2">
      <c r="H231" s="374" t="s">
        <v>565</v>
      </c>
      <c r="J231" s="374" t="s">
        <v>683</v>
      </c>
      <c r="K231" s="374" t="s">
        <v>565</v>
      </c>
      <c r="M231" s="357">
        <v>5364</v>
      </c>
      <c r="N231" s="357">
        <v>5102</v>
      </c>
      <c r="O231" s="375">
        <f t="shared" si="9"/>
        <v>0.95115585384041756</v>
      </c>
      <c r="P231" s="357">
        <v>262</v>
      </c>
      <c r="Q231" s="375">
        <f t="shared" si="10"/>
        <v>4.8844146159582401E-2</v>
      </c>
      <c r="Y231" s="357"/>
      <c r="AA231" s="358"/>
    </row>
    <row r="232" spans="8:27" x14ac:dyDescent="0.2">
      <c r="H232" s="374" t="s">
        <v>517</v>
      </c>
      <c r="J232" s="374" t="s">
        <v>626</v>
      </c>
      <c r="K232" s="374" t="s">
        <v>517</v>
      </c>
      <c r="M232" s="357">
        <v>55196</v>
      </c>
      <c r="N232" s="357">
        <v>52919</v>
      </c>
      <c r="O232" s="375">
        <f t="shared" si="9"/>
        <v>0.95874701065294587</v>
      </c>
      <c r="P232" s="357">
        <v>2277</v>
      </c>
      <c r="Q232" s="375">
        <f t="shared" si="10"/>
        <v>4.1252989347054132E-2</v>
      </c>
      <c r="Y232" s="357"/>
      <c r="AA232" s="358"/>
    </row>
    <row r="233" spans="8:27" x14ac:dyDescent="0.2">
      <c r="H233" s="374" t="s">
        <v>557</v>
      </c>
      <c r="J233" s="374" t="s">
        <v>674</v>
      </c>
      <c r="K233" s="357" t="s">
        <v>557</v>
      </c>
      <c r="M233" s="357">
        <v>1205</v>
      </c>
      <c r="N233" s="357">
        <v>1047</v>
      </c>
      <c r="O233" s="375">
        <f t="shared" si="9"/>
        <v>0.86887966804979255</v>
      </c>
      <c r="P233" s="357">
        <v>158</v>
      </c>
      <c r="Q233" s="375">
        <f t="shared" si="10"/>
        <v>0.13112033195020747</v>
      </c>
      <c r="Y233" s="357"/>
      <c r="AA233" s="358"/>
    </row>
    <row r="234" spans="8:27" x14ac:dyDescent="0.2">
      <c r="H234" s="374" t="s">
        <v>518</v>
      </c>
      <c r="J234" s="374" t="s">
        <v>627</v>
      </c>
      <c r="K234" s="357" t="s">
        <v>518</v>
      </c>
      <c r="M234" s="357">
        <v>55196</v>
      </c>
      <c r="N234" s="357">
        <v>52919</v>
      </c>
      <c r="O234" s="375">
        <f t="shared" si="9"/>
        <v>0.95874701065294587</v>
      </c>
      <c r="P234" s="357">
        <v>2277</v>
      </c>
      <c r="Q234" s="375">
        <f t="shared" si="10"/>
        <v>4.1252989347054132E-2</v>
      </c>
      <c r="Y234" s="357"/>
      <c r="AA234" s="358"/>
    </row>
    <row r="235" spans="8:27" x14ac:dyDescent="0.2">
      <c r="H235" s="374" t="s">
        <v>519</v>
      </c>
      <c r="J235" s="374" t="s">
        <v>628</v>
      </c>
      <c r="K235" s="357" t="s">
        <v>518</v>
      </c>
      <c r="M235" s="357">
        <v>55196</v>
      </c>
      <c r="N235" s="357">
        <v>52919</v>
      </c>
      <c r="O235" s="375">
        <f t="shared" si="9"/>
        <v>0.95874701065294587</v>
      </c>
      <c r="P235" s="357">
        <v>2277</v>
      </c>
      <c r="Q235" s="375">
        <f t="shared" si="10"/>
        <v>4.1252989347054132E-2</v>
      </c>
      <c r="Y235" s="357"/>
      <c r="AA235" s="358"/>
    </row>
    <row r="236" spans="8:27" x14ac:dyDescent="0.2">
      <c r="H236" s="374" t="s">
        <v>511</v>
      </c>
      <c r="J236" s="374" t="s">
        <v>619</v>
      </c>
      <c r="K236" s="374" t="s">
        <v>511</v>
      </c>
      <c r="M236" s="357">
        <v>12400</v>
      </c>
      <c r="N236" s="357">
        <v>11130</v>
      </c>
      <c r="O236" s="375">
        <f t="shared" si="9"/>
        <v>0.89758064516129032</v>
      </c>
      <c r="P236" s="357">
        <v>1270</v>
      </c>
      <c r="Q236" s="375">
        <f t="shared" si="10"/>
        <v>0.10241935483870968</v>
      </c>
      <c r="Y236" s="357"/>
      <c r="AA236" s="358"/>
    </row>
    <row r="237" spans="8:27" x14ac:dyDescent="0.2">
      <c r="H237" s="374" t="s">
        <v>512</v>
      </c>
      <c r="J237" s="374" t="s">
        <v>620</v>
      </c>
      <c r="K237" s="357" t="s">
        <v>512</v>
      </c>
      <c r="M237" s="357">
        <v>322</v>
      </c>
      <c r="N237" s="357">
        <v>247</v>
      </c>
      <c r="O237" s="375">
        <f t="shared" si="9"/>
        <v>0.76708074534161486</v>
      </c>
      <c r="P237" s="357">
        <v>75</v>
      </c>
      <c r="Q237" s="375">
        <f t="shared" si="10"/>
        <v>0.23291925465838509</v>
      </c>
      <c r="Y237" s="357"/>
      <c r="AA237" s="358"/>
    </row>
    <row r="238" spans="8:27" x14ac:dyDescent="0.2">
      <c r="H238" s="374" t="s">
        <v>492</v>
      </c>
      <c r="J238" s="374" t="s">
        <v>582</v>
      </c>
      <c r="K238" s="357" t="s">
        <v>492</v>
      </c>
      <c r="M238" s="357">
        <v>814</v>
      </c>
      <c r="N238" s="357">
        <v>652</v>
      </c>
      <c r="O238" s="375">
        <f t="shared" si="9"/>
        <v>0.80098280098280095</v>
      </c>
      <c r="P238" s="357">
        <v>162</v>
      </c>
      <c r="Q238" s="375">
        <f t="shared" si="10"/>
        <v>0.19901719901719903</v>
      </c>
      <c r="Y238" s="357"/>
      <c r="AA238" s="358"/>
    </row>
    <row r="239" spans="8:27" x14ac:dyDescent="0.2">
      <c r="H239" s="374" t="s">
        <v>529</v>
      </c>
      <c r="J239" s="374" t="s">
        <v>638</v>
      </c>
      <c r="K239" s="357" t="s">
        <v>529</v>
      </c>
      <c r="M239" s="357">
        <v>17095</v>
      </c>
      <c r="N239" s="357">
        <v>15457</v>
      </c>
      <c r="O239" s="375">
        <f t="shared" si="9"/>
        <v>0.90418250950570345</v>
      </c>
      <c r="P239" s="357">
        <v>1638</v>
      </c>
      <c r="Q239" s="375">
        <f t="shared" si="10"/>
        <v>9.5817490494296581E-2</v>
      </c>
      <c r="Y239" s="357"/>
      <c r="AA239" s="358"/>
    </row>
    <row r="240" spans="8:27" x14ac:dyDescent="0.2">
      <c r="H240" s="374" t="s">
        <v>530</v>
      </c>
      <c r="J240" s="374" t="s">
        <v>639</v>
      </c>
      <c r="K240" s="357" t="s">
        <v>529</v>
      </c>
      <c r="M240" s="357">
        <v>17095</v>
      </c>
      <c r="N240" s="357">
        <v>15457</v>
      </c>
      <c r="O240" s="375">
        <f t="shared" ref="O240:O279" si="11">N240/M240</f>
        <v>0.90418250950570345</v>
      </c>
      <c r="P240" s="357">
        <v>1638</v>
      </c>
      <c r="Q240" s="375">
        <f t="shared" ref="Q240:Q279" si="12">P240/M240</f>
        <v>9.5817490494296581E-2</v>
      </c>
      <c r="Y240" s="357"/>
      <c r="AA240" s="358"/>
    </row>
    <row r="241" spans="8:27" x14ac:dyDescent="0.2">
      <c r="H241" s="374" t="s">
        <v>489</v>
      </c>
      <c r="J241" s="374" t="s">
        <v>579</v>
      </c>
      <c r="K241" s="357" t="s">
        <v>489</v>
      </c>
      <c r="M241" s="357">
        <v>1754</v>
      </c>
      <c r="N241" s="357">
        <v>1459</v>
      </c>
      <c r="O241" s="375">
        <f t="shared" si="11"/>
        <v>0.83181299885974913</v>
      </c>
      <c r="P241" s="357">
        <v>295</v>
      </c>
      <c r="Q241" s="375">
        <f t="shared" si="12"/>
        <v>0.16818700114025084</v>
      </c>
      <c r="Y241" s="357"/>
      <c r="AA241" s="358"/>
    </row>
    <row r="242" spans="8:27" x14ac:dyDescent="0.2">
      <c r="H242" s="374" t="s">
        <v>531</v>
      </c>
      <c r="J242" s="374" t="s">
        <v>640</v>
      </c>
      <c r="K242" s="357" t="s">
        <v>902</v>
      </c>
      <c r="M242" s="357">
        <v>2526</v>
      </c>
      <c r="N242" s="357">
        <v>2169</v>
      </c>
      <c r="O242" s="375">
        <f t="shared" si="11"/>
        <v>0.85866983372921613</v>
      </c>
      <c r="P242" s="357">
        <v>357</v>
      </c>
      <c r="Q242" s="375">
        <f t="shared" si="12"/>
        <v>0.14133016627078385</v>
      </c>
      <c r="Y242" s="357"/>
      <c r="AA242" s="358"/>
    </row>
    <row r="243" spans="8:27" x14ac:dyDescent="0.2">
      <c r="H243" s="374" t="s">
        <v>536</v>
      </c>
      <c r="J243" s="374" t="s">
        <v>645</v>
      </c>
      <c r="K243" s="357" t="s">
        <v>887</v>
      </c>
      <c r="M243" s="357">
        <v>3479</v>
      </c>
      <c r="N243" s="357">
        <v>2947</v>
      </c>
      <c r="O243" s="375">
        <f t="shared" si="11"/>
        <v>0.84708249496981891</v>
      </c>
      <c r="P243" s="357">
        <v>532</v>
      </c>
      <c r="Q243" s="375">
        <f t="shared" si="12"/>
        <v>0.15291750503018109</v>
      </c>
      <c r="Y243" s="357"/>
      <c r="AA243" s="358"/>
    </row>
    <row r="244" spans="8:27" x14ac:dyDescent="0.2">
      <c r="H244" s="374" t="s">
        <v>653</v>
      </c>
      <c r="J244" s="374" t="s">
        <v>652</v>
      </c>
      <c r="K244" s="357" t="s">
        <v>900</v>
      </c>
      <c r="M244" s="357">
        <v>7363</v>
      </c>
      <c r="N244" s="357">
        <v>5952</v>
      </c>
      <c r="O244" s="375">
        <f t="shared" si="11"/>
        <v>0.80836615509982346</v>
      </c>
      <c r="P244" s="357">
        <v>1411</v>
      </c>
      <c r="Q244" s="375">
        <f t="shared" si="12"/>
        <v>0.19163384490017657</v>
      </c>
      <c r="Y244" s="357"/>
      <c r="AA244" s="358"/>
    </row>
    <row r="245" spans="8:27" x14ac:dyDescent="0.2">
      <c r="H245" s="374" t="s">
        <v>513</v>
      </c>
      <c r="J245" s="374" t="s">
        <v>621</v>
      </c>
      <c r="K245" s="357" t="s">
        <v>884</v>
      </c>
      <c r="M245" s="357">
        <v>1064</v>
      </c>
      <c r="N245" s="357">
        <v>802</v>
      </c>
      <c r="O245" s="375">
        <f t="shared" si="11"/>
        <v>0.75375939849624063</v>
      </c>
      <c r="P245" s="357">
        <v>262</v>
      </c>
      <c r="Q245" s="375">
        <f t="shared" si="12"/>
        <v>0.2462406015037594</v>
      </c>
      <c r="Y245" s="357"/>
      <c r="AA245" s="358"/>
    </row>
    <row r="246" spans="8:27" x14ac:dyDescent="0.2">
      <c r="H246" s="374" t="s">
        <v>538</v>
      </c>
      <c r="J246" s="374" t="s">
        <v>655</v>
      </c>
      <c r="K246" s="357" t="s">
        <v>889</v>
      </c>
      <c r="M246" s="357">
        <v>4015</v>
      </c>
      <c r="N246" s="357">
        <v>3307</v>
      </c>
      <c r="O246" s="375">
        <f t="shared" si="11"/>
        <v>0.82366127023661273</v>
      </c>
      <c r="P246" s="357">
        <v>708</v>
      </c>
      <c r="Q246" s="375">
        <f t="shared" si="12"/>
        <v>0.1763387297633873</v>
      </c>
      <c r="Y246" s="357"/>
      <c r="AA246" s="358"/>
    </row>
    <row r="247" spans="8:27" x14ac:dyDescent="0.2">
      <c r="H247" s="374" t="s">
        <v>549</v>
      </c>
      <c r="J247" s="374" t="s">
        <v>666</v>
      </c>
      <c r="K247" s="374" t="s">
        <v>549</v>
      </c>
      <c r="M247" s="357">
        <v>56136</v>
      </c>
      <c r="N247" s="357">
        <v>52993</v>
      </c>
      <c r="O247" s="375">
        <f t="shared" si="11"/>
        <v>0.94401097335043471</v>
      </c>
      <c r="P247" s="357">
        <v>3143</v>
      </c>
      <c r="Q247" s="375">
        <f t="shared" si="12"/>
        <v>5.5989026649565343E-2</v>
      </c>
      <c r="Y247" s="357"/>
      <c r="AA247" s="358"/>
    </row>
    <row r="248" spans="8:27" x14ac:dyDescent="0.2">
      <c r="H248" s="374" t="s">
        <v>550</v>
      </c>
      <c r="J248" s="374" t="s">
        <v>667</v>
      </c>
      <c r="K248" s="357" t="s">
        <v>550</v>
      </c>
      <c r="M248" s="357">
        <v>56136</v>
      </c>
      <c r="N248" s="357">
        <v>52993</v>
      </c>
      <c r="O248" s="375">
        <f t="shared" si="11"/>
        <v>0.94401097335043471</v>
      </c>
      <c r="P248" s="357">
        <v>3143</v>
      </c>
      <c r="Q248" s="375">
        <f t="shared" si="12"/>
        <v>5.5989026649565343E-2</v>
      </c>
      <c r="Y248" s="357"/>
      <c r="AA248" s="358"/>
    </row>
    <row r="249" spans="8:27" x14ac:dyDescent="0.2">
      <c r="H249" s="374" t="s">
        <v>551</v>
      </c>
      <c r="J249" s="374" t="s">
        <v>668</v>
      </c>
      <c r="K249" s="357" t="s">
        <v>550</v>
      </c>
      <c r="M249" s="357">
        <v>56136</v>
      </c>
      <c r="N249" s="357">
        <v>52993</v>
      </c>
      <c r="O249" s="375">
        <f t="shared" si="11"/>
        <v>0.94401097335043471</v>
      </c>
      <c r="P249" s="357">
        <v>3143</v>
      </c>
      <c r="Q249" s="375">
        <f t="shared" si="12"/>
        <v>5.5989026649565343E-2</v>
      </c>
      <c r="Y249" s="357"/>
      <c r="AA249" s="358"/>
    </row>
    <row r="250" spans="8:27" x14ac:dyDescent="0.2">
      <c r="H250" s="374" t="s">
        <v>552</v>
      </c>
      <c r="J250" s="374" t="s">
        <v>669</v>
      </c>
      <c r="K250" s="357" t="s">
        <v>552</v>
      </c>
      <c r="M250" s="357">
        <v>777</v>
      </c>
      <c r="N250" s="357">
        <v>651</v>
      </c>
      <c r="O250" s="375">
        <f t="shared" si="11"/>
        <v>0.83783783783783783</v>
      </c>
      <c r="P250" s="357">
        <v>126</v>
      </c>
      <c r="Q250" s="375">
        <f t="shared" si="12"/>
        <v>0.16216216216216217</v>
      </c>
    </row>
    <row r="251" spans="8:27" x14ac:dyDescent="0.2">
      <c r="H251" s="374" t="s">
        <v>514</v>
      </c>
      <c r="J251" s="374" t="s">
        <v>622</v>
      </c>
      <c r="K251" s="357" t="s">
        <v>514</v>
      </c>
      <c r="M251" s="357">
        <v>891</v>
      </c>
      <c r="N251" s="357">
        <v>835</v>
      </c>
      <c r="O251" s="375">
        <f t="shared" si="11"/>
        <v>0.93714927048260377</v>
      </c>
      <c r="P251" s="357">
        <v>56</v>
      </c>
      <c r="Q251" s="375">
        <f t="shared" si="12"/>
        <v>6.2850729517396189E-2</v>
      </c>
    </row>
    <row r="252" spans="8:27" x14ac:dyDescent="0.2">
      <c r="H252" s="374" t="s">
        <v>558</v>
      </c>
      <c r="J252" s="374" t="s">
        <v>675</v>
      </c>
      <c r="K252" s="357" t="s">
        <v>903</v>
      </c>
      <c r="M252" s="357">
        <v>2673</v>
      </c>
      <c r="N252" s="357">
        <v>2416</v>
      </c>
      <c r="O252" s="375">
        <f t="shared" si="11"/>
        <v>0.90385334829779274</v>
      </c>
      <c r="P252" s="357">
        <v>257</v>
      </c>
      <c r="Q252" s="375">
        <f t="shared" si="12"/>
        <v>9.6146651702207264E-2</v>
      </c>
    </row>
    <row r="253" spans="8:27" x14ac:dyDescent="0.2">
      <c r="H253" s="374" t="s">
        <v>493</v>
      </c>
      <c r="J253" s="374" t="s">
        <v>583</v>
      </c>
      <c r="K253" s="357" t="s">
        <v>493</v>
      </c>
      <c r="M253" s="357">
        <v>704</v>
      </c>
      <c r="N253" s="357">
        <v>615</v>
      </c>
      <c r="O253" s="375">
        <f t="shared" si="11"/>
        <v>0.87357954545454541</v>
      </c>
      <c r="P253" s="357">
        <v>89</v>
      </c>
      <c r="Q253" s="375">
        <f t="shared" si="12"/>
        <v>0.12642045454545456</v>
      </c>
    </row>
    <row r="254" spans="8:27" ht="13.5" customHeight="1" x14ac:dyDescent="0.2">
      <c r="H254" s="374" t="s">
        <v>501</v>
      </c>
      <c r="J254" s="374" t="s">
        <v>591</v>
      </c>
      <c r="K254" s="357" t="s">
        <v>501</v>
      </c>
      <c r="M254" s="357">
        <v>1852</v>
      </c>
      <c r="N254" s="357">
        <v>1429</v>
      </c>
      <c r="O254" s="375">
        <f t="shared" si="11"/>
        <v>0.77159827213822896</v>
      </c>
      <c r="P254" s="357">
        <v>423</v>
      </c>
      <c r="Q254" s="375">
        <f t="shared" si="12"/>
        <v>0.22840172786177107</v>
      </c>
    </row>
    <row r="255" spans="8:27" x14ac:dyDescent="0.2">
      <c r="H255" s="374" t="s">
        <v>553</v>
      </c>
      <c r="J255" s="374" t="s">
        <v>670</v>
      </c>
      <c r="K255" s="357" t="s">
        <v>873</v>
      </c>
      <c r="M255" s="357">
        <v>2991</v>
      </c>
      <c r="N255" s="357">
        <v>2814</v>
      </c>
      <c r="O255" s="375">
        <f t="shared" si="11"/>
        <v>0.94082246740220665</v>
      </c>
      <c r="P255" s="357">
        <v>177</v>
      </c>
      <c r="Q255" s="375">
        <f t="shared" si="12"/>
        <v>5.9177532597793382E-2</v>
      </c>
    </row>
    <row r="256" spans="8:27" x14ac:dyDescent="0.2">
      <c r="H256" s="374" t="s">
        <v>560</v>
      </c>
      <c r="J256" s="374" t="s">
        <v>677</v>
      </c>
      <c r="K256" s="357" t="s">
        <v>891</v>
      </c>
      <c r="M256" s="357">
        <v>8740</v>
      </c>
      <c r="N256" s="357">
        <v>8015</v>
      </c>
      <c r="O256" s="375">
        <f t="shared" si="11"/>
        <v>0.91704805491990848</v>
      </c>
      <c r="P256" s="357">
        <v>725</v>
      </c>
      <c r="Q256" s="375">
        <f t="shared" si="12"/>
        <v>8.295194508009153E-2</v>
      </c>
    </row>
    <row r="257" spans="8:17" x14ac:dyDescent="0.2">
      <c r="H257" s="374" t="s">
        <v>559</v>
      </c>
      <c r="J257" s="374" t="s">
        <v>676</v>
      </c>
      <c r="K257" s="357" t="s">
        <v>559</v>
      </c>
      <c r="M257" s="357">
        <v>1145</v>
      </c>
      <c r="N257" s="357">
        <v>1025</v>
      </c>
      <c r="O257" s="375">
        <f t="shared" si="11"/>
        <v>0.89519650655021832</v>
      </c>
      <c r="P257" s="357">
        <v>120</v>
      </c>
      <c r="Q257" s="375">
        <f t="shared" si="12"/>
        <v>0.10480349344978165</v>
      </c>
    </row>
    <row r="258" spans="8:17" x14ac:dyDescent="0.2">
      <c r="H258" s="374" t="s">
        <v>502</v>
      </c>
      <c r="J258" s="374" t="s">
        <v>592</v>
      </c>
      <c r="K258" s="357" t="s">
        <v>502</v>
      </c>
      <c r="M258" s="357">
        <v>2002</v>
      </c>
      <c r="N258" s="357">
        <v>1819</v>
      </c>
      <c r="O258" s="375">
        <f t="shared" si="11"/>
        <v>0.90859140859140863</v>
      </c>
      <c r="P258" s="357">
        <v>183</v>
      </c>
      <c r="Q258" s="375">
        <f t="shared" si="12"/>
        <v>9.1408591408591408E-2</v>
      </c>
    </row>
    <row r="259" spans="8:17" x14ac:dyDescent="0.2">
      <c r="H259" s="374" t="s">
        <v>607</v>
      </c>
      <c r="J259" s="374" t="s">
        <v>606</v>
      </c>
      <c r="K259" s="357" t="s">
        <v>879</v>
      </c>
      <c r="M259" s="357">
        <v>627</v>
      </c>
      <c r="N259" s="357">
        <v>414</v>
      </c>
      <c r="O259" s="375">
        <f t="shared" si="11"/>
        <v>0.66028708133971292</v>
      </c>
      <c r="P259" s="357">
        <v>213</v>
      </c>
      <c r="Q259" s="375">
        <f t="shared" si="12"/>
        <v>0.33971291866028708</v>
      </c>
    </row>
    <row r="260" spans="8:17" x14ac:dyDescent="0.2">
      <c r="H260" s="374" t="s">
        <v>572</v>
      </c>
      <c r="J260" s="374" t="s">
        <v>692</v>
      </c>
      <c r="K260" s="357" t="s">
        <v>572</v>
      </c>
      <c r="M260" s="357">
        <v>2738</v>
      </c>
      <c r="N260" s="357">
        <v>2281</v>
      </c>
      <c r="O260" s="375">
        <f t="shared" si="11"/>
        <v>0.83308984660336016</v>
      </c>
      <c r="P260" s="357">
        <v>457</v>
      </c>
      <c r="Q260" s="375">
        <f t="shared" si="12"/>
        <v>0.16691015339663989</v>
      </c>
    </row>
    <row r="261" spans="8:17" x14ac:dyDescent="0.2">
      <c r="H261" s="374" t="s">
        <v>907</v>
      </c>
      <c r="J261" s="374" t="s">
        <v>629</v>
      </c>
      <c r="K261" s="357" t="s">
        <v>907</v>
      </c>
      <c r="M261" s="357">
        <v>663</v>
      </c>
      <c r="N261" s="357">
        <v>612</v>
      </c>
      <c r="O261" s="375">
        <f t="shared" si="11"/>
        <v>0.92307692307692313</v>
      </c>
      <c r="P261" s="357">
        <v>51</v>
      </c>
      <c r="Q261" s="375">
        <f t="shared" si="12"/>
        <v>7.6923076923076927E-2</v>
      </c>
    </row>
    <row r="262" spans="8:17" x14ac:dyDescent="0.2">
      <c r="H262" s="374" t="s">
        <v>515</v>
      </c>
      <c r="J262" s="374" t="s">
        <v>623</v>
      </c>
      <c r="K262" s="374" t="s">
        <v>515</v>
      </c>
      <c r="M262" s="357">
        <v>12400</v>
      </c>
      <c r="N262" s="357">
        <v>11130</v>
      </c>
      <c r="O262" s="375">
        <f t="shared" si="11"/>
        <v>0.89758064516129032</v>
      </c>
      <c r="P262" s="357">
        <v>1270</v>
      </c>
      <c r="Q262" s="375">
        <f t="shared" si="12"/>
        <v>0.10241935483870968</v>
      </c>
    </row>
    <row r="263" spans="8:17" x14ac:dyDescent="0.2">
      <c r="H263" s="374" t="s">
        <v>521</v>
      </c>
      <c r="J263" s="374" t="s">
        <v>630</v>
      </c>
      <c r="K263" s="374" t="s">
        <v>521</v>
      </c>
      <c r="M263" s="357">
        <v>55196</v>
      </c>
      <c r="N263" s="357">
        <v>52919</v>
      </c>
      <c r="O263" s="375">
        <f t="shared" si="11"/>
        <v>0.95874701065294587</v>
      </c>
      <c r="P263" s="357">
        <v>2277</v>
      </c>
      <c r="Q263" s="375">
        <f t="shared" si="12"/>
        <v>4.1252989347054132E-2</v>
      </c>
    </row>
    <row r="264" spans="8:17" x14ac:dyDescent="0.2">
      <c r="H264" s="374" t="s">
        <v>554</v>
      </c>
      <c r="J264" s="374" t="s">
        <v>671</v>
      </c>
      <c r="K264" s="374" t="s">
        <v>554</v>
      </c>
      <c r="M264" s="357">
        <v>56136</v>
      </c>
      <c r="N264" s="357">
        <v>52993</v>
      </c>
      <c r="O264" s="375">
        <f t="shared" si="11"/>
        <v>0.94401097335043471</v>
      </c>
      <c r="P264" s="357">
        <v>3143</v>
      </c>
      <c r="Q264" s="375">
        <f t="shared" si="12"/>
        <v>5.5989026649565343E-2</v>
      </c>
    </row>
    <row r="265" spans="8:17" x14ac:dyDescent="0.2">
      <c r="H265" s="374" t="s">
        <v>566</v>
      </c>
      <c r="J265" s="374" t="s">
        <v>684</v>
      </c>
      <c r="K265" s="374" t="s">
        <v>566</v>
      </c>
      <c r="M265" s="357">
        <v>1196</v>
      </c>
      <c r="N265" s="357">
        <v>1034</v>
      </c>
      <c r="O265" s="375">
        <f t="shared" si="11"/>
        <v>0.86454849498327757</v>
      </c>
      <c r="P265" s="357">
        <v>162</v>
      </c>
      <c r="Q265" s="375">
        <f t="shared" si="12"/>
        <v>0.1354515050167224</v>
      </c>
    </row>
    <row r="266" spans="8:17" x14ac:dyDescent="0.2">
      <c r="H266" s="374" t="s">
        <v>601</v>
      </c>
      <c r="J266" s="374" t="s">
        <v>600</v>
      </c>
      <c r="K266" s="357" t="s">
        <v>601</v>
      </c>
      <c r="M266" s="357">
        <v>1588</v>
      </c>
      <c r="N266" s="357">
        <v>1345</v>
      </c>
      <c r="O266" s="375">
        <f t="shared" si="11"/>
        <v>0.84697732997481112</v>
      </c>
      <c r="P266" s="357">
        <v>243</v>
      </c>
      <c r="Q266" s="375">
        <f t="shared" si="12"/>
        <v>0.15302267002518891</v>
      </c>
    </row>
    <row r="267" spans="8:17" x14ac:dyDescent="0.2">
      <c r="H267" s="374" t="s">
        <v>555</v>
      </c>
      <c r="J267" s="374" t="s">
        <v>672</v>
      </c>
      <c r="K267" s="357" t="s">
        <v>874</v>
      </c>
      <c r="M267" s="357">
        <v>1795</v>
      </c>
      <c r="N267" s="357">
        <v>1595</v>
      </c>
      <c r="O267" s="375">
        <f t="shared" si="11"/>
        <v>0.88857938718662954</v>
      </c>
      <c r="P267" s="357">
        <v>200</v>
      </c>
      <c r="Q267" s="375">
        <f t="shared" si="12"/>
        <v>0.11142061281337047</v>
      </c>
    </row>
    <row r="268" spans="8:17" x14ac:dyDescent="0.2">
      <c r="H268" s="374" t="s">
        <v>539</v>
      </c>
      <c r="J268" s="374" t="s">
        <v>656</v>
      </c>
      <c r="K268" s="357" t="s">
        <v>890</v>
      </c>
      <c r="M268" s="357">
        <v>1201</v>
      </c>
      <c r="N268" s="357">
        <v>1037</v>
      </c>
      <c r="O268" s="375">
        <f t="shared" si="11"/>
        <v>0.86344712739383844</v>
      </c>
      <c r="P268" s="357">
        <v>164</v>
      </c>
      <c r="Q268" s="375">
        <f t="shared" si="12"/>
        <v>0.13655287260616153</v>
      </c>
    </row>
    <row r="269" spans="8:17" x14ac:dyDescent="0.2">
      <c r="H269" s="374" t="s">
        <v>562</v>
      </c>
      <c r="J269" s="374" t="s">
        <v>679</v>
      </c>
      <c r="K269" s="357" t="s">
        <v>906</v>
      </c>
      <c r="M269" s="357">
        <v>3981</v>
      </c>
      <c r="N269" s="357">
        <v>3535</v>
      </c>
      <c r="O269" s="375">
        <f t="shared" si="11"/>
        <v>0.88796784727455413</v>
      </c>
      <c r="P269" s="357">
        <v>446</v>
      </c>
      <c r="Q269" s="375">
        <f t="shared" si="12"/>
        <v>0.11203215272544587</v>
      </c>
    </row>
    <row r="270" spans="8:17" x14ac:dyDescent="0.2">
      <c r="H270" s="374" t="s">
        <v>567</v>
      </c>
      <c r="J270" s="374" t="s">
        <v>685</v>
      </c>
      <c r="K270" s="357" t="s">
        <v>892</v>
      </c>
      <c r="M270" s="357">
        <v>5364</v>
      </c>
      <c r="N270" s="357">
        <v>5102</v>
      </c>
      <c r="O270" s="375">
        <f t="shared" si="11"/>
        <v>0.95115585384041756</v>
      </c>
      <c r="P270" s="357">
        <v>262</v>
      </c>
      <c r="Q270" s="375">
        <f t="shared" si="12"/>
        <v>4.8844146159582401E-2</v>
      </c>
    </row>
    <row r="271" spans="8:17" x14ac:dyDescent="0.2">
      <c r="H271" s="374" t="s">
        <v>568</v>
      </c>
      <c r="J271" s="374" t="s">
        <v>686</v>
      </c>
      <c r="K271" s="357" t="s">
        <v>892</v>
      </c>
      <c r="M271" s="357">
        <v>5364</v>
      </c>
      <c r="N271" s="357">
        <v>5102</v>
      </c>
      <c r="O271" s="375">
        <f t="shared" si="11"/>
        <v>0.95115585384041756</v>
      </c>
      <c r="P271" s="357">
        <v>262</v>
      </c>
      <c r="Q271" s="375">
        <f t="shared" si="12"/>
        <v>4.8844146159582401E-2</v>
      </c>
    </row>
    <row r="272" spans="8:17" x14ac:dyDescent="0.2">
      <c r="H272" s="374" t="s">
        <v>522</v>
      </c>
      <c r="J272" s="374" t="s">
        <v>631</v>
      </c>
      <c r="K272" s="357" t="s">
        <v>886</v>
      </c>
      <c r="M272" s="357">
        <v>714</v>
      </c>
      <c r="N272" s="357">
        <v>673</v>
      </c>
      <c r="O272" s="375">
        <f t="shared" si="11"/>
        <v>0.94257703081232491</v>
      </c>
      <c r="P272" s="357">
        <v>41</v>
      </c>
      <c r="Q272" s="375">
        <f t="shared" si="12"/>
        <v>5.7422969187675067E-2</v>
      </c>
    </row>
    <row r="273" spans="8:17" x14ac:dyDescent="0.2">
      <c r="H273" s="374" t="s">
        <v>503</v>
      </c>
      <c r="J273" s="374" t="s">
        <v>593</v>
      </c>
      <c r="K273" s="374" t="s">
        <v>503</v>
      </c>
      <c r="M273" s="357">
        <v>18220</v>
      </c>
      <c r="N273" s="357">
        <v>15805</v>
      </c>
      <c r="O273" s="375">
        <f t="shared" si="11"/>
        <v>0.86745334796926454</v>
      </c>
      <c r="P273" s="357">
        <v>2415</v>
      </c>
      <c r="Q273" s="375">
        <f t="shared" si="12"/>
        <v>0.13254665203073546</v>
      </c>
    </row>
    <row r="274" spans="8:17" x14ac:dyDescent="0.2">
      <c r="H274" s="374" t="s">
        <v>556</v>
      </c>
      <c r="J274" s="374" t="s">
        <v>673</v>
      </c>
      <c r="K274" s="374" t="s">
        <v>556</v>
      </c>
      <c r="M274" s="357">
        <v>56136</v>
      </c>
      <c r="N274" s="357">
        <v>52993</v>
      </c>
      <c r="O274" s="375">
        <f t="shared" si="11"/>
        <v>0.94401097335043471</v>
      </c>
      <c r="P274" s="357">
        <v>3143</v>
      </c>
      <c r="Q274" s="375">
        <f t="shared" si="12"/>
        <v>5.5989026649565343E-2</v>
      </c>
    </row>
    <row r="275" spans="8:17" x14ac:dyDescent="0.2">
      <c r="H275" s="374" t="s">
        <v>490</v>
      </c>
      <c r="J275" s="374" t="s">
        <v>580</v>
      </c>
      <c r="K275" s="357" t="s">
        <v>898</v>
      </c>
      <c r="M275" s="357">
        <v>3485</v>
      </c>
      <c r="N275" s="357">
        <v>3250</v>
      </c>
      <c r="O275" s="375">
        <f t="shared" si="11"/>
        <v>0.93256814921090392</v>
      </c>
      <c r="P275" s="357">
        <v>235</v>
      </c>
      <c r="Q275" s="375">
        <f t="shared" si="12"/>
        <v>6.7431850789096123E-2</v>
      </c>
    </row>
    <row r="276" spans="8:17" x14ac:dyDescent="0.2">
      <c r="H276" s="374" t="s">
        <v>523</v>
      </c>
      <c r="J276" s="374" t="s">
        <v>632</v>
      </c>
      <c r="K276" s="374" t="s">
        <v>523</v>
      </c>
      <c r="M276" s="357">
        <v>55196</v>
      </c>
      <c r="N276" s="357">
        <v>52919</v>
      </c>
      <c r="O276" s="375">
        <f t="shared" si="11"/>
        <v>0.95874701065294587</v>
      </c>
      <c r="P276" s="357">
        <v>2277</v>
      </c>
      <c r="Q276" s="375">
        <f t="shared" si="12"/>
        <v>4.1252989347054132E-2</v>
      </c>
    </row>
    <row r="277" spans="8:17" x14ac:dyDescent="0.2">
      <c r="H277" s="374" t="s">
        <v>575</v>
      </c>
      <c r="J277" s="374" t="s">
        <v>695</v>
      </c>
      <c r="K277" s="357" t="s">
        <v>896</v>
      </c>
      <c r="M277" s="357">
        <v>6923</v>
      </c>
      <c r="N277" s="357">
        <v>6171</v>
      </c>
      <c r="O277" s="375">
        <f t="shared" si="11"/>
        <v>0.89137657085078725</v>
      </c>
      <c r="P277" s="357">
        <v>752</v>
      </c>
      <c r="Q277" s="375">
        <f t="shared" si="12"/>
        <v>0.10862342914921277</v>
      </c>
    </row>
    <row r="278" spans="8:17" x14ac:dyDescent="0.2">
      <c r="H278" s="374" t="s">
        <v>603</v>
      </c>
      <c r="J278" s="374" t="s">
        <v>602</v>
      </c>
      <c r="K278" s="357" t="s">
        <v>877</v>
      </c>
      <c r="M278" s="357">
        <v>1092</v>
      </c>
      <c r="N278" s="357">
        <v>799</v>
      </c>
      <c r="O278" s="375">
        <f t="shared" si="11"/>
        <v>0.73168498168498164</v>
      </c>
      <c r="P278" s="357">
        <v>293</v>
      </c>
      <c r="Q278" s="375">
        <f t="shared" si="12"/>
        <v>0.26831501831501831</v>
      </c>
    </row>
    <row r="279" spans="8:17" x14ac:dyDescent="0.2">
      <c r="H279" s="374" t="s">
        <v>609</v>
      </c>
      <c r="J279" s="374" t="s">
        <v>608</v>
      </c>
      <c r="K279" s="357" t="s">
        <v>609</v>
      </c>
      <c r="M279" s="357">
        <v>876</v>
      </c>
      <c r="N279" s="357">
        <v>723</v>
      </c>
      <c r="O279" s="375">
        <f t="shared" si="11"/>
        <v>0.82534246575342463</v>
      </c>
      <c r="P279" s="357">
        <v>153</v>
      </c>
      <c r="Q279" s="375">
        <f t="shared" si="12"/>
        <v>0.17465753424657535</v>
      </c>
    </row>
  </sheetData>
  <customSheetViews>
    <customSheetView guid="{78BD55B1-68EB-420C-90D4-21A42E09A787}" scale="85" topLeftCell="A55">
      <selection activeCell="E12" sqref="E12"/>
      <pageMargins left="0.7" right="0.7" top="0.75" bottom="0.75" header="0.3" footer="0.3"/>
      <pageSetup paperSize="9" orientation="portrait" horizontalDpi="4294967295" verticalDpi="4294967295" r:id="rId1"/>
    </customSheetView>
    <customSheetView guid="{61D25FAA-9885-4686-B739-70FDA39A07A1}" scale="85" state="hidden" topLeftCell="D55">
      <selection activeCell="E12" sqref="E12"/>
      <pageMargins left="0.7" right="0.7" top="0.75" bottom="0.75" header="0.3" footer="0.3"/>
      <pageSetup paperSize="9" orientation="portrait" horizontalDpi="4294967295" verticalDpi="4294967295" r:id="rId2"/>
    </customSheetView>
  </customSheetViews>
  <mergeCells count="30">
    <mergeCell ref="D70:H70"/>
    <mergeCell ref="D71:H75"/>
    <mergeCell ref="I66:K69"/>
    <mergeCell ref="I74:K74"/>
    <mergeCell ref="I75:K75"/>
    <mergeCell ref="I73:K73"/>
    <mergeCell ref="I70:K72"/>
    <mergeCell ref="E67:F67"/>
    <mergeCell ref="E68:F68"/>
    <mergeCell ref="E69:F69"/>
    <mergeCell ref="E66:F66"/>
    <mergeCell ref="G53:K55"/>
    <mergeCell ref="C13:L13"/>
    <mergeCell ref="C35:M35"/>
    <mergeCell ref="D22:H22"/>
    <mergeCell ref="D23:E23"/>
    <mergeCell ref="F23:H23"/>
    <mergeCell ref="C22:C24"/>
    <mergeCell ref="I22:I24"/>
    <mergeCell ref="M13:M14"/>
    <mergeCell ref="C50:E50"/>
    <mergeCell ref="Y6:Y7"/>
    <mergeCell ref="Z6:Z7"/>
    <mergeCell ref="U6:X6"/>
    <mergeCell ref="O6:O7"/>
    <mergeCell ref="P6:P7"/>
    <mergeCell ref="Q6:Q7"/>
    <mergeCell ref="R6:R7"/>
    <mergeCell ref="S6:S7"/>
    <mergeCell ref="T6:T7"/>
  </mergeCells>
  <pageMargins left="0.7" right="0.7" top="0.75" bottom="0.75" header="0.3" footer="0.3"/>
  <pageSetup paperSize="9" orientation="portrait" horizontalDpi="4294967295" verticalDpi="4294967295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292"/>
  <sheetViews>
    <sheetView zoomScale="85" zoomScaleNormal="85" workbookViewId="0">
      <selection activeCell="E16" sqref="E16"/>
    </sheetView>
  </sheetViews>
  <sheetFormatPr baseColWidth="10" defaultRowHeight="12.75" x14ac:dyDescent="0.2"/>
  <cols>
    <col min="1" max="1" width="28.7109375" customWidth="1"/>
    <col min="2" max="2" width="11.85546875" customWidth="1"/>
    <col min="3" max="5" width="15.5703125" customWidth="1"/>
    <col min="6" max="6" width="21.85546875" customWidth="1"/>
    <col min="7" max="7" width="23.85546875" customWidth="1"/>
    <col min="8" max="8" width="20.140625" customWidth="1"/>
    <col min="9" max="10" width="12.42578125" customWidth="1"/>
    <col min="11" max="11" width="14.85546875" customWidth="1"/>
    <col min="13" max="14" width="11.140625" customWidth="1"/>
    <col min="20" max="20" width="10.5703125" customWidth="1"/>
    <col min="21" max="22" width="11.28515625" customWidth="1"/>
    <col min="23" max="23" width="11.28515625" style="210" customWidth="1"/>
  </cols>
  <sheetData>
    <row r="1" spans="1:48" ht="13.5" thickBot="1" x14ac:dyDescent="0.25"/>
    <row r="2" spans="1:48" ht="15.75" thickBot="1" x14ac:dyDescent="0.3">
      <c r="A2" s="803" t="s">
        <v>702</v>
      </c>
      <c r="B2" s="803"/>
      <c r="C2" s="803"/>
      <c r="D2" s="803"/>
      <c r="E2" s="803"/>
      <c r="F2" s="803"/>
      <c r="G2" s="803"/>
      <c r="H2" s="803"/>
      <c r="I2" s="803"/>
      <c r="J2" s="309"/>
      <c r="L2" s="803" t="s">
        <v>865</v>
      </c>
      <c r="M2" s="803"/>
      <c r="N2" s="803"/>
      <c r="O2" s="803"/>
      <c r="P2" s="803"/>
      <c r="Q2" s="803"/>
      <c r="R2" s="803"/>
      <c r="S2" s="803"/>
      <c r="T2" s="803"/>
      <c r="U2" s="803"/>
      <c r="V2" s="803"/>
      <c r="W2" s="803"/>
      <c r="X2" s="803"/>
      <c r="Y2" s="803"/>
      <c r="Z2" s="803"/>
      <c r="AA2" s="803"/>
      <c r="AB2" s="803"/>
      <c r="AD2" s="803" t="s">
        <v>911</v>
      </c>
      <c r="AE2" s="803"/>
      <c r="AF2" s="803"/>
      <c r="AG2" s="803"/>
      <c r="AH2" s="803"/>
      <c r="AI2" s="803"/>
      <c r="AJ2" s="803"/>
      <c r="AM2" s="800" t="s">
        <v>912</v>
      </c>
      <c r="AN2" s="801"/>
      <c r="AO2" s="801"/>
      <c r="AP2" s="801"/>
      <c r="AQ2" s="801"/>
      <c r="AR2" s="801"/>
      <c r="AS2" s="801"/>
      <c r="AT2" s="801"/>
      <c r="AU2" s="802"/>
    </row>
    <row r="3" spans="1:48" s="183" customFormat="1" ht="57" customHeight="1" x14ac:dyDescent="0.2">
      <c r="A3" s="330" t="s">
        <v>854</v>
      </c>
      <c r="B3" s="184"/>
      <c r="C3" s="330" t="s">
        <v>855</v>
      </c>
      <c r="D3" s="330" t="s">
        <v>856</v>
      </c>
      <c r="E3" s="330" t="s">
        <v>857</v>
      </c>
      <c r="F3" s="188" t="s">
        <v>697</v>
      </c>
      <c r="G3" s="187" t="s">
        <v>696</v>
      </c>
      <c r="H3" s="187" t="s">
        <v>839</v>
      </c>
      <c r="I3" s="187" t="s">
        <v>698</v>
      </c>
      <c r="J3" s="188" t="s">
        <v>699</v>
      </c>
      <c r="L3" s="322" t="s">
        <v>859</v>
      </c>
      <c r="M3" s="322" t="s">
        <v>700</v>
      </c>
      <c r="N3" s="322" t="s">
        <v>701</v>
      </c>
      <c r="O3" s="184"/>
      <c r="P3" s="323" t="s">
        <v>703</v>
      </c>
      <c r="Q3" s="324" t="s">
        <v>704</v>
      </c>
      <c r="R3" s="324" t="s">
        <v>705</v>
      </c>
      <c r="S3" s="324" t="s">
        <v>706</v>
      </c>
      <c r="T3" s="325" t="s">
        <v>707</v>
      </c>
      <c r="U3" s="184"/>
      <c r="V3" s="326" t="s">
        <v>720</v>
      </c>
      <c r="W3" s="327" t="s">
        <v>721</v>
      </c>
      <c r="X3" s="322" t="s">
        <v>861</v>
      </c>
      <c r="Y3" s="322" t="s">
        <v>862</v>
      </c>
      <c r="Z3" s="328" t="s">
        <v>708</v>
      </c>
      <c r="AA3" s="329" t="s">
        <v>709</v>
      </c>
      <c r="AB3" s="329" t="s">
        <v>710</v>
      </c>
      <c r="AD3" s="320" t="s">
        <v>841</v>
      </c>
      <c r="AE3" s="320" t="s">
        <v>842</v>
      </c>
      <c r="AF3" s="319" t="s">
        <v>866</v>
      </c>
      <c r="AG3" s="319" t="s">
        <v>867</v>
      </c>
      <c r="AH3" s="321"/>
      <c r="AI3" s="319" t="s">
        <v>868</v>
      </c>
      <c r="AJ3" s="320" t="s">
        <v>869</v>
      </c>
      <c r="AL3" s="183">
        <f>'MODELO DE PRESUPUESTO'!G292</f>
        <v>304858.06280000007</v>
      </c>
      <c r="AM3" s="189" t="s">
        <v>711</v>
      </c>
      <c r="AN3" s="189" t="s">
        <v>712</v>
      </c>
      <c r="AO3" s="189" t="s">
        <v>713</v>
      </c>
      <c r="AP3" s="189" t="s">
        <v>714</v>
      </c>
      <c r="AQ3" s="189" t="s">
        <v>715</v>
      </c>
      <c r="AR3" s="189" t="s">
        <v>716</v>
      </c>
      <c r="AS3" s="189" t="s">
        <v>717</v>
      </c>
      <c r="AT3" s="189" t="s">
        <v>718</v>
      </c>
      <c r="AU3" s="189" t="s">
        <v>719</v>
      </c>
    </row>
    <row r="4" spans="1:48" x14ac:dyDescent="0.2">
      <c r="A4" t="str">
        <f>'CARATULA-DATOS'!B5</f>
        <v>REPOTENCIACIÓN Y MODERNIZACIÓN DE LAS REDES DE DISTRIBUCIÓN PRIMARIA Y SECUNDARIA DE LA CIUDADELA SANTA FE, DEL CANTÓN CHONE, CON EL REMPLAZO DE REDES AÉREAS DENUDAS DE BAJO VOLTAJE, POR REDES PREENSAMBLADAS.</v>
      </c>
      <c r="C4" s="306">
        <v>42401</v>
      </c>
      <c r="D4" s="307">
        <v>9</v>
      </c>
      <c r="E4" t="s">
        <v>858</v>
      </c>
      <c r="F4" s="184" t="str">
        <f>LOOKUP(G4,F188:F292,H188:H292)</f>
        <v>130301</v>
      </c>
      <c r="G4" s="308" t="str">
        <f>'CARATULA-DATOS'!B10</f>
        <v>CHONE</v>
      </c>
      <c r="H4" s="308" t="str">
        <f>'CARATULA-DATOS'!B9</f>
        <v>Chone</v>
      </c>
      <c r="I4" s="186" t="str">
        <f>'CARATULA-DATOS'!E11</f>
        <v>9894694,68</v>
      </c>
      <c r="J4" s="186" t="str">
        <f>'CARATULA-DATOS'!E12</f>
        <v>562430,38</v>
      </c>
      <c r="L4" s="310" t="s">
        <v>860</v>
      </c>
      <c r="M4">
        <f>'CARATULA-DATOS'!B23</f>
        <v>39</v>
      </c>
      <c r="N4">
        <f>'CARATULA-DATOS'!A23</f>
        <v>300</v>
      </c>
      <c r="P4">
        <v>13.8</v>
      </c>
      <c r="Q4">
        <f>'CARATULA-DATOS'!A20</f>
        <v>1296</v>
      </c>
      <c r="R4">
        <f>'CARATULA-DATOS'!B20</f>
        <v>2589</v>
      </c>
      <c r="S4">
        <f>'MODELO DE PRESUPUESTO'!F35+'MODELO DE PRESUPUESTO'!F36+'MODELO DE PRESUPUESTO'!F37+'MODELO DE PRESUPUESTO'!F38+'MODELO DE PRESUPUESTO'!F39+'MODELO DE PRESUPUESTO'!F40</f>
        <v>18</v>
      </c>
      <c r="T4">
        <f>('MODELO DE PRESUPUESTO'!F35*5)+('MODELO DE PRESUPUESTO'!F36*10)+('MODELO DE PRESUPUESTO'!F37*15)+('MODELO DE PRESUPUESTO'!F38*25)+('MODELO DE PRESUPUESTO'!F39*37.5)+('MODELO DE PRESUPUESTO'!F40*50)</f>
        <v>775</v>
      </c>
      <c r="V4">
        <f>'MODELO DE PRESUPUESTO'!F47+'MODELO DE PRESUPUESTO'!F48</f>
        <v>96</v>
      </c>
      <c r="W4">
        <f>('MODELO DE PRESUPUESTO'!F47*0.1)+('MODELO DE PRESUPUESTO'!F48*0.15)</f>
        <v>14.399999999999999</v>
      </c>
      <c r="X4" t="s">
        <v>863</v>
      </c>
      <c r="Y4" t="s">
        <v>864</v>
      </c>
      <c r="Z4">
        <f>'MODELO DE PRESUPUESTO'!F213</f>
        <v>300</v>
      </c>
      <c r="AA4">
        <f>('MODELO DE PRESUPUESTO'!F140)/1000</f>
        <v>3.39</v>
      </c>
      <c r="AB4">
        <f>Z4</f>
        <v>300</v>
      </c>
      <c r="AD4" t="e">
        <f>#REF!</f>
        <v>#REF!</v>
      </c>
      <c r="AE4" t="e">
        <f>#REF!*100</f>
        <v>#REF!</v>
      </c>
      <c r="AF4" t="e">
        <f>#REF!</f>
        <v>#REF!</v>
      </c>
      <c r="AG4" t="e">
        <f>#REF!</f>
        <v>#REF!</v>
      </c>
      <c r="AI4">
        <f>LOOKUP(G4,F188:F292,M188:M292)*100</f>
        <v>89.967069154774975</v>
      </c>
      <c r="AJ4">
        <f>((N4/(LOOKUP(G4,F188:F292,K188:K292)))*100)+AI4</f>
        <v>91.613611416026345</v>
      </c>
      <c r="AL4">
        <f>ROUND((AL3/9),2)</f>
        <v>33873.120000000003</v>
      </c>
      <c r="AM4">
        <f t="shared" ref="AM4:AU4" si="0">$AL$4</f>
        <v>33873.120000000003</v>
      </c>
      <c r="AN4">
        <f t="shared" si="0"/>
        <v>33873.120000000003</v>
      </c>
      <c r="AO4">
        <f t="shared" si="0"/>
        <v>33873.120000000003</v>
      </c>
      <c r="AP4">
        <f t="shared" si="0"/>
        <v>33873.120000000003</v>
      </c>
      <c r="AQ4">
        <f t="shared" si="0"/>
        <v>33873.120000000003</v>
      </c>
      <c r="AR4">
        <f t="shared" si="0"/>
        <v>33873.120000000003</v>
      </c>
      <c r="AS4">
        <f t="shared" si="0"/>
        <v>33873.120000000003</v>
      </c>
      <c r="AT4">
        <f t="shared" si="0"/>
        <v>33873.120000000003</v>
      </c>
      <c r="AU4">
        <f t="shared" si="0"/>
        <v>33873.120000000003</v>
      </c>
      <c r="AV4" s="384">
        <f>SUM(AM4:AU4)</f>
        <v>304858.08</v>
      </c>
    </row>
    <row r="10" spans="1:48" ht="45.75" customHeight="1" x14ac:dyDescent="0.2"/>
    <row r="11" spans="1:48" x14ac:dyDescent="0.2">
      <c r="U11" s="210"/>
      <c r="W11"/>
    </row>
    <row r="12" spans="1:48" x14ac:dyDescent="0.2">
      <c r="U12" s="210"/>
      <c r="W12"/>
    </row>
    <row r="13" spans="1:48" x14ac:dyDescent="0.2">
      <c r="U13" s="210"/>
      <c r="W13"/>
    </row>
    <row r="18" spans="13:23" x14ac:dyDescent="0.2">
      <c r="M18" s="210"/>
      <c r="W18"/>
    </row>
    <row r="19" spans="13:23" ht="37.5" customHeight="1" x14ac:dyDescent="0.2"/>
    <row r="20" spans="13:23" x14ac:dyDescent="0.2">
      <c r="Q20" s="210"/>
      <c r="W20"/>
    </row>
    <row r="21" spans="13:23" x14ac:dyDescent="0.2">
      <c r="Q21" s="210"/>
      <c r="W21"/>
    </row>
    <row r="187" spans="6:25" s="316" customFormat="1" ht="31.5" x14ac:dyDescent="0.2">
      <c r="F187" s="318" t="s">
        <v>576</v>
      </c>
      <c r="G187" s="318"/>
      <c r="H187" s="318" t="s">
        <v>447</v>
      </c>
      <c r="I187" s="318" t="s">
        <v>576</v>
      </c>
      <c r="J187" s="318"/>
      <c r="K187" s="318" t="s">
        <v>908</v>
      </c>
      <c r="L187" s="318" t="s">
        <v>870</v>
      </c>
      <c r="M187" s="318" t="s">
        <v>909</v>
      </c>
      <c r="N187" s="318" t="s">
        <v>871</v>
      </c>
      <c r="O187" s="318" t="s">
        <v>910</v>
      </c>
      <c r="Y187" s="317"/>
    </row>
    <row r="188" spans="6:25" x14ac:dyDescent="0.2">
      <c r="F188" s="185" t="s">
        <v>647</v>
      </c>
      <c r="H188" s="185" t="s">
        <v>646</v>
      </c>
      <c r="I188" t="s">
        <v>647</v>
      </c>
      <c r="K188">
        <v>1127</v>
      </c>
      <c r="L188">
        <v>748</v>
      </c>
      <c r="M188" s="311">
        <f>L188/K188</f>
        <v>0.66370896184560779</v>
      </c>
      <c r="N188">
        <v>379</v>
      </c>
      <c r="O188" s="311">
        <f t="shared" ref="O188:O219" si="1">N188/K188</f>
        <v>0.33629103815439221</v>
      </c>
      <c r="W188"/>
      <c r="Y188" s="210"/>
    </row>
    <row r="189" spans="6:25" x14ac:dyDescent="0.2">
      <c r="F189" s="185" t="s">
        <v>540</v>
      </c>
      <c r="H189" s="185" t="s">
        <v>657</v>
      </c>
      <c r="I189" s="185" t="s">
        <v>540</v>
      </c>
      <c r="K189">
        <v>56136</v>
      </c>
      <c r="L189">
        <v>54088</v>
      </c>
      <c r="M189" s="311">
        <f t="shared" ref="M189:M252" si="2">L189/K189</f>
        <v>0.96351717258087499</v>
      </c>
      <c r="N189">
        <v>2048</v>
      </c>
      <c r="O189" s="311">
        <f t="shared" si="1"/>
        <v>3.648282741912498E-2</v>
      </c>
      <c r="W189"/>
      <c r="Y189" s="210"/>
    </row>
    <row r="190" spans="6:25" x14ac:dyDescent="0.2">
      <c r="F190" s="185" t="s">
        <v>541</v>
      </c>
      <c r="H190" s="185" t="s">
        <v>658</v>
      </c>
      <c r="I190" s="185" t="s">
        <v>541</v>
      </c>
      <c r="K190">
        <v>56136</v>
      </c>
      <c r="L190">
        <v>54088</v>
      </c>
      <c r="M190" s="311">
        <f t="shared" si="2"/>
        <v>0.96351717258087499</v>
      </c>
      <c r="N190">
        <v>2048</v>
      </c>
      <c r="O190" s="311">
        <f t="shared" si="1"/>
        <v>3.648282741912498E-2</v>
      </c>
      <c r="W190"/>
      <c r="Y190" s="210"/>
    </row>
    <row r="191" spans="6:25" s="315" customFormat="1" x14ac:dyDescent="0.2">
      <c r="F191" s="314" t="s">
        <v>595</v>
      </c>
      <c r="H191" s="314" t="s">
        <v>594</v>
      </c>
      <c r="I191" s="314" t="s">
        <v>595</v>
      </c>
      <c r="K191">
        <v>18450</v>
      </c>
      <c r="L191">
        <v>16528</v>
      </c>
      <c r="M191" s="311">
        <f t="shared" si="2"/>
        <v>0.89582655826558266</v>
      </c>
      <c r="N191">
        <v>1922</v>
      </c>
      <c r="O191" s="311">
        <f t="shared" si="1"/>
        <v>0.10417344173441734</v>
      </c>
      <c r="Y191" s="210"/>
    </row>
    <row r="192" spans="6:25" x14ac:dyDescent="0.2">
      <c r="F192" s="185" t="s">
        <v>542</v>
      </c>
      <c r="H192" s="185" t="s">
        <v>659</v>
      </c>
      <c r="I192" t="s">
        <v>872</v>
      </c>
      <c r="K192">
        <v>3520</v>
      </c>
      <c r="L192">
        <v>3398</v>
      </c>
      <c r="M192" s="311">
        <f t="shared" si="2"/>
        <v>0.96534090909090908</v>
      </c>
      <c r="N192">
        <v>122</v>
      </c>
      <c r="O192" s="311">
        <f t="shared" si="1"/>
        <v>3.465909090909091E-2</v>
      </c>
      <c r="W192"/>
      <c r="Y192" s="210"/>
    </row>
    <row r="193" spans="6:25" x14ac:dyDescent="0.2">
      <c r="F193" s="185" t="s">
        <v>543</v>
      </c>
      <c r="H193" s="185" t="s">
        <v>660</v>
      </c>
      <c r="I193" t="s">
        <v>543</v>
      </c>
      <c r="K193">
        <v>973</v>
      </c>
      <c r="L193">
        <v>934</v>
      </c>
      <c r="M193" s="311">
        <f t="shared" si="2"/>
        <v>0.95991778006166495</v>
      </c>
      <c r="N193">
        <v>39</v>
      </c>
      <c r="O193" s="311">
        <f t="shared" si="1"/>
        <v>4.0082219938335044E-2</v>
      </c>
      <c r="W193"/>
      <c r="Y193" s="210"/>
    </row>
    <row r="194" spans="6:25" x14ac:dyDescent="0.2">
      <c r="F194" s="185" t="s">
        <v>505</v>
      </c>
      <c r="H194" s="185" t="s">
        <v>613</v>
      </c>
      <c r="I194" t="s">
        <v>881</v>
      </c>
      <c r="K194">
        <v>977</v>
      </c>
      <c r="L194">
        <v>792</v>
      </c>
      <c r="M194" s="311">
        <f t="shared" si="2"/>
        <v>0.81064483111566021</v>
      </c>
      <c r="N194">
        <v>185</v>
      </c>
      <c r="O194" s="311">
        <f t="shared" si="1"/>
        <v>0.18935516888433981</v>
      </c>
      <c r="W194"/>
      <c r="Y194" s="210"/>
    </row>
    <row r="195" spans="6:25" x14ac:dyDescent="0.2">
      <c r="F195" s="185" t="s">
        <v>544</v>
      </c>
      <c r="H195" s="185" t="s">
        <v>661</v>
      </c>
      <c r="I195" s="185" t="s">
        <v>544</v>
      </c>
      <c r="K195">
        <v>56136</v>
      </c>
      <c r="L195">
        <v>54088</v>
      </c>
      <c r="M195" s="311">
        <f t="shared" si="2"/>
        <v>0.96351717258087499</v>
      </c>
      <c r="N195">
        <v>2048</v>
      </c>
      <c r="O195" s="311">
        <f t="shared" si="1"/>
        <v>3.648282741912498E-2</v>
      </c>
      <c r="W195"/>
      <c r="Y195" s="210"/>
    </row>
    <row r="196" spans="6:25" x14ac:dyDescent="0.2">
      <c r="F196" s="185" t="s">
        <v>573</v>
      </c>
      <c r="H196" s="185" t="s">
        <v>693</v>
      </c>
      <c r="I196" t="s">
        <v>897</v>
      </c>
      <c r="K196">
        <v>1588</v>
      </c>
      <c r="L196">
        <v>1413</v>
      </c>
      <c r="M196" s="311">
        <f t="shared" si="2"/>
        <v>0.88979848866498745</v>
      </c>
      <c r="N196">
        <v>175</v>
      </c>
      <c r="O196" s="311">
        <f t="shared" si="1"/>
        <v>0.11020151133501259</v>
      </c>
      <c r="W196"/>
      <c r="Y196" s="210"/>
    </row>
    <row r="197" spans="6:25" x14ac:dyDescent="0.2">
      <c r="F197" s="185" t="s">
        <v>524</v>
      </c>
      <c r="H197" s="185" t="s">
        <v>633</v>
      </c>
      <c r="I197" s="185" t="s">
        <v>524</v>
      </c>
      <c r="K197">
        <v>17095</v>
      </c>
      <c r="L197">
        <v>15863</v>
      </c>
      <c r="M197" s="311">
        <f t="shared" si="2"/>
        <v>0.92793214390172563</v>
      </c>
      <c r="N197">
        <v>1232</v>
      </c>
      <c r="O197" s="311">
        <f t="shared" si="1"/>
        <v>7.2067856098274347E-2</v>
      </c>
      <c r="W197"/>
      <c r="Y197" s="210"/>
    </row>
    <row r="198" spans="6:25" x14ac:dyDescent="0.2">
      <c r="F198" s="185" t="s">
        <v>487</v>
      </c>
      <c r="H198" s="185" t="s">
        <v>577</v>
      </c>
      <c r="I198" t="s">
        <v>899</v>
      </c>
      <c r="K198">
        <v>987</v>
      </c>
      <c r="L198">
        <v>919</v>
      </c>
      <c r="M198" s="311">
        <f t="shared" si="2"/>
        <v>0.93110435663627156</v>
      </c>
      <c r="N198">
        <v>68</v>
      </c>
      <c r="O198" s="311">
        <f t="shared" si="1"/>
        <v>6.889564336372847E-2</v>
      </c>
      <c r="W198"/>
      <c r="Y198" s="210"/>
    </row>
    <row r="199" spans="6:25" x14ac:dyDescent="0.2">
      <c r="F199" s="185" t="s">
        <v>649</v>
      </c>
      <c r="H199" s="185" t="s">
        <v>648</v>
      </c>
      <c r="I199" t="s">
        <v>649</v>
      </c>
      <c r="K199">
        <v>542</v>
      </c>
      <c r="L199">
        <v>376</v>
      </c>
      <c r="M199" s="311">
        <f t="shared" si="2"/>
        <v>0.69372693726937273</v>
      </c>
      <c r="N199">
        <v>166</v>
      </c>
      <c r="O199" s="311">
        <f t="shared" si="1"/>
        <v>0.30627306273062732</v>
      </c>
      <c r="W199"/>
      <c r="Y199" s="210"/>
    </row>
    <row r="200" spans="6:25" x14ac:dyDescent="0.2">
      <c r="F200" s="185" t="s">
        <v>563</v>
      </c>
      <c r="H200" s="185" t="s">
        <v>680</v>
      </c>
      <c r="I200" t="s">
        <v>563</v>
      </c>
      <c r="K200">
        <v>1920</v>
      </c>
      <c r="L200">
        <v>1852</v>
      </c>
      <c r="M200" s="311">
        <f t="shared" si="2"/>
        <v>0.96458333333333335</v>
      </c>
      <c r="N200">
        <v>68</v>
      </c>
      <c r="O200" s="311">
        <f t="shared" si="1"/>
        <v>3.5416666666666666E-2</v>
      </c>
      <c r="W200"/>
      <c r="Y200" s="210"/>
    </row>
    <row r="201" spans="6:25" x14ac:dyDescent="0.2">
      <c r="F201" s="185" t="s">
        <v>574</v>
      </c>
      <c r="H201" s="185" t="s">
        <v>694</v>
      </c>
      <c r="I201" t="s">
        <v>574</v>
      </c>
      <c r="K201">
        <v>938</v>
      </c>
      <c r="L201">
        <v>869</v>
      </c>
      <c r="M201" s="311">
        <f t="shared" si="2"/>
        <v>0.92643923240938164</v>
      </c>
      <c r="N201">
        <v>69</v>
      </c>
      <c r="O201" s="311">
        <f t="shared" si="1"/>
        <v>7.3560767590618331E-2</v>
      </c>
      <c r="W201"/>
      <c r="Y201" s="210"/>
    </row>
    <row r="202" spans="6:25" x14ac:dyDescent="0.2">
      <c r="F202" s="185" t="s">
        <v>688</v>
      </c>
      <c r="H202" s="185" t="s">
        <v>687</v>
      </c>
      <c r="I202" t="s">
        <v>894</v>
      </c>
      <c r="K202">
        <v>6767</v>
      </c>
      <c r="L202">
        <v>6242</v>
      </c>
      <c r="M202" s="311">
        <f t="shared" si="2"/>
        <v>0.92241761489581797</v>
      </c>
      <c r="N202">
        <v>525</v>
      </c>
      <c r="O202" s="311">
        <f t="shared" si="1"/>
        <v>7.7582385104182056E-2</v>
      </c>
      <c r="W202"/>
      <c r="Y202" s="210"/>
    </row>
    <row r="203" spans="6:25" x14ac:dyDescent="0.2">
      <c r="F203" s="185" t="s">
        <v>569</v>
      </c>
      <c r="H203" s="185" t="s">
        <v>689</v>
      </c>
      <c r="I203" t="s">
        <v>894</v>
      </c>
      <c r="K203">
        <v>6767</v>
      </c>
      <c r="L203">
        <v>6242</v>
      </c>
      <c r="M203" s="311">
        <f t="shared" si="2"/>
        <v>0.92241761489581797</v>
      </c>
      <c r="N203">
        <v>525</v>
      </c>
      <c r="O203" s="311">
        <f t="shared" si="1"/>
        <v>7.7582385104182056E-2</v>
      </c>
      <c r="W203"/>
      <c r="Y203" s="210"/>
    </row>
    <row r="204" spans="6:25" x14ac:dyDescent="0.2">
      <c r="F204" s="185" t="s">
        <v>537</v>
      </c>
      <c r="H204" s="185" t="s">
        <v>654</v>
      </c>
      <c r="I204" t="s">
        <v>537</v>
      </c>
      <c r="K204">
        <v>1692</v>
      </c>
      <c r="L204">
        <v>592</v>
      </c>
      <c r="M204" s="311">
        <f t="shared" si="2"/>
        <v>0.34988179669030733</v>
      </c>
      <c r="N204">
        <v>1100</v>
      </c>
      <c r="O204" s="311">
        <f t="shared" si="1"/>
        <v>0.65011820330969272</v>
      </c>
      <c r="W204"/>
      <c r="Y204" s="210"/>
    </row>
    <row r="205" spans="6:25" x14ac:dyDescent="0.2">
      <c r="F205" s="185" t="s">
        <v>488</v>
      </c>
      <c r="H205" s="185" t="s">
        <v>578</v>
      </c>
      <c r="I205" t="s">
        <v>488</v>
      </c>
      <c r="K205">
        <v>1266</v>
      </c>
      <c r="L205">
        <v>1154</v>
      </c>
      <c r="M205" s="311">
        <f t="shared" si="2"/>
        <v>0.91153238546603477</v>
      </c>
      <c r="N205">
        <v>112</v>
      </c>
      <c r="O205" s="311">
        <f t="shared" si="1"/>
        <v>8.8467614533965247E-2</v>
      </c>
      <c r="W205"/>
      <c r="Y205" s="210"/>
    </row>
    <row r="206" spans="6:25" x14ac:dyDescent="0.2">
      <c r="F206" s="185" t="s">
        <v>494</v>
      </c>
      <c r="H206" s="185" t="s">
        <v>584</v>
      </c>
      <c r="I206" t="s">
        <v>876</v>
      </c>
      <c r="K206">
        <v>1115</v>
      </c>
      <c r="L206">
        <v>949</v>
      </c>
      <c r="M206" s="311">
        <f t="shared" si="2"/>
        <v>0.85112107623318389</v>
      </c>
      <c r="N206">
        <v>166</v>
      </c>
      <c r="O206" s="311">
        <f t="shared" si="1"/>
        <v>0.14887892376681613</v>
      </c>
      <c r="W206"/>
      <c r="Y206" s="210"/>
    </row>
    <row r="207" spans="6:25" x14ac:dyDescent="0.2">
      <c r="F207" s="185" t="s">
        <v>491</v>
      </c>
      <c r="H207" s="185" t="s">
        <v>581</v>
      </c>
      <c r="I207" t="s">
        <v>875</v>
      </c>
      <c r="K207">
        <v>8037</v>
      </c>
      <c r="L207">
        <v>7401</v>
      </c>
      <c r="M207" s="311">
        <f t="shared" si="2"/>
        <v>0.92086599477416942</v>
      </c>
      <c r="N207">
        <v>636</v>
      </c>
      <c r="O207" s="311">
        <f t="shared" si="1"/>
        <v>7.9134005225830528E-2</v>
      </c>
      <c r="W207"/>
      <c r="Y207" s="210"/>
    </row>
    <row r="208" spans="6:25" x14ac:dyDescent="0.2">
      <c r="F208" s="185" t="s">
        <v>532</v>
      </c>
      <c r="H208" s="185" t="s">
        <v>641</v>
      </c>
      <c r="I208" t="s">
        <v>888</v>
      </c>
      <c r="K208">
        <v>2360</v>
      </c>
      <c r="L208">
        <v>1906</v>
      </c>
      <c r="M208" s="311">
        <f t="shared" si="2"/>
        <v>0.80762711864406778</v>
      </c>
      <c r="N208">
        <v>454</v>
      </c>
      <c r="O208" s="311">
        <f t="shared" si="1"/>
        <v>0.1923728813559322</v>
      </c>
      <c r="W208"/>
      <c r="Y208" s="210"/>
    </row>
    <row r="209" spans="6:25" x14ac:dyDescent="0.2">
      <c r="F209" s="185" t="s">
        <v>561</v>
      </c>
      <c r="H209" s="185" t="s">
        <v>678</v>
      </c>
      <c r="I209" t="s">
        <v>561</v>
      </c>
      <c r="K209">
        <v>1695</v>
      </c>
      <c r="L209">
        <v>1446</v>
      </c>
      <c r="M209" s="311">
        <f t="shared" si="2"/>
        <v>0.85309734513274338</v>
      </c>
      <c r="N209">
        <v>249</v>
      </c>
      <c r="O209" s="311">
        <f t="shared" si="1"/>
        <v>0.14690265486725665</v>
      </c>
      <c r="W209"/>
      <c r="Y209" s="210"/>
    </row>
    <row r="210" spans="6:25" x14ac:dyDescent="0.2">
      <c r="F210" s="185" t="s">
        <v>495</v>
      </c>
      <c r="H210" s="185" t="s">
        <v>585</v>
      </c>
      <c r="I210" t="s">
        <v>495</v>
      </c>
      <c r="K210">
        <v>2447</v>
      </c>
      <c r="L210">
        <v>2225</v>
      </c>
      <c r="M210" s="311">
        <f t="shared" si="2"/>
        <v>0.90927666530445439</v>
      </c>
      <c r="N210">
        <v>222</v>
      </c>
      <c r="O210" s="311">
        <f t="shared" si="1"/>
        <v>9.0723334695545568E-2</v>
      </c>
      <c r="W210"/>
      <c r="Y210" s="210"/>
    </row>
    <row r="211" spans="6:25" x14ac:dyDescent="0.2">
      <c r="F211" s="185" t="s">
        <v>533</v>
      </c>
      <c r="H211" s="185" t="s">
        <v>642</v>
      </c>
      <c r="I211" t="s">
        <v>533</v>
      </c>
      <c r="K211">
        <v>3479</v>
      </c>
      <c r="L211">
        <v>3009</v>
      </c>
      <c r="M211" s="311">
        <f t="shared" si="2"/>
        <v>0.86490370796205807</v>
      </c>
      <c r="N211">
        <v>470</v>
      </c>
      <c r="O211" s="311">
        <f t="shared" si="1"/>
        <v>0.13509629203794193</v>
      </c>
      <c r="W211"/>
      <c r="Y211" s="210"/>
    </row>
    <row r="212" spans="6:25" x14ac:dyDescent="0.2">
      <c r="F212" s="185" t="s">
        <v>570</v>
      </c>
      <c r="H212" s="185" t="s">
        <v>690</v>
      </c>
      <c r="I212" t="s">
        <v>895</v>
      </c>
      <c r="K212">
        <v>5544</v>
      </c>
      <c r="L212">
        <v>5101</v>
      </c>
      <c r="M212" s="311">
        <f t="shared" si="2"/>
        <v>0.92009379509379507</v>
      </c>
      <c r="N212">
        <v>443</v>
      </c>
      <c r="O212" s="311">
        <f t="shared" si="1"/>
        <v>7.9906204906204911E-2</v>
      </c>
      <c r="W212"/>
      <c r="Y212" s="210"/>
    </row>
    <row r="213" spans="6:25" x14ac:dyDescent="0.2">
      <c r="F213" s="185" t="s">
        <v>496</v>
      </c>
      <c r="H213" s="185" t="s">
        <v>586</v>
      </c>
      <c r="I213" t="s">
        <v>496</v>
      </c>
      <c r="K213">
        <v>1433</v>
      </c>
      <c r="L213">
        <v>858</v>
      </c>
      <c r="M213" s="311">
        <f t="shared" si="2"/>
        <v>0.59874389392882066</v>
      </c>
      <c r="N213">
        <v>575</v>
      </c>
      <c r="O213" s="311">
        <f t="shared" si="1"/>
        <v>0.40125610607117934</v>
      </c>
      <c r="W213"/>
      <c r="Y213" s="210"/>
    </row>
    <row r="214" spans="6:25" x14ac:dyDescent="0.2">
      <c r="F214" s="185" t="s">
        <v>545</v>
      </c>
      <c r="H214" s="185" t="s">
        <v>662</v>
      </c>
      <c r="I214" t="s">
        <v>545</v>
      </c>
      <c r="K214">
        <v>600</v>
      </c>
      <c r="L214">
        <v>575</v>
      </c>
      <c r="M214" s="311">
        <f t="shared" si="2"/>
        <v>0.95833333333333337</v>
      </c>
      <c r="N214">
        <v>25</v>
      </c>
      <c r="O214" s="311">
        <f t="shared" si="1"/>
        <v>4.1666666666666664E-2</v>
      </c>
      <c r="W214"/>
      <c r="Y214" s="210"/>
    </row>
    <row r="215" spans="6:25" x14ac:dyDescent="0.2">
      <c r="F215" s="185" t="s">
        <v>497</v>
      </c>
      <c r="H215" s="185" t="s">
        <v>587</v>
      </c>
      <c r="I215" t="s">
        <v>497</v>
      </c>
      <c r="K215">
        <v>18220</v>
      </c>
      <c r="L215">
        <v>16392</v>
      </c>
      <c r="M215" s="311">
        <f t="shared" si="2"/>
        <v>0.8996706915477497</v>
      </c>
      <c r="N215">
        <v>1828</v>
      </c>
      <c r="O215" s="311">
        <f t="shared" si="1"/>
        <v>0.10032930845225027</v>
      </c>
      <c r="W215"/>
      <c r="Y215" s="210"/>
    </row>
    <row r="216" spans="6:25" x14ac:dyDescent="0.2">
      <c r="F216" s="185" t="s">
        <v>498</v>
      </c>
      <c r="H216" s="185" t="s">
        <v>588</v>
      </c>
      <c r="I216" t="s">
        <v>497</v>
      </c>
      <c r="K216">
        <v>18220</v>
      </c>
      <c r="L216">
        <v>16392</v>
      </c>
      <c r="M216" s="311">
        <f t="shared" si="2"/>
        <v>0.8996706915477497</v>
      </c>
      <c r="N216">
        <v>1828</v>
      </c>
      <c r="O216" s="311">
        <f t="shared" si="1"/>
        <v>0.10032930845225027</v>
      </c>
      <c r="W216"/>
      <c r="Y216" s="210"/>
    </row>
    <row r="217" spans="6:25" x14ac:dyDescent="0.2">
      <c r="F217" s="185" t="s">
        <v>651</v>
      </c>
      <c r="H217" s="185" t="s">
        <v>650</v>
      </c>
      <c r="I217" t="s">
        <v>901</v>
      </c>
      <c r="K217">
        <v>2889</v>
      </c>
      <c r="L217">
        <v>1889</v>
      </c>
      <c r="M217" s="311">
        <f t="shared" si="2"/>
        <v>0.6538594669435791</v>
      </c>
      <c r="N217">
        <v>1000</v>
      </c>
      <c r="O217" s="311">
        <f t="shared" si="1"/>
        <v>0.3461405330564209</v>
      </c>
      <c r="W217"/>
      <c r="Y217" s="210"/>
    </row>
    <row r="218" spans="6:25" x14ac:dyDescent="0.2">
      <c r="F218" s="185" t="s">
        <v>546</v>
      </c>
      <c r="H218" s="185" t="s">
        <v>663</v>
      </c>
      <c r="I218" s="185" t="s">
        <v>546</v>
      </c>
      <c r="K218">
        <v>56136</v>
      </c>
      <c r="L218">
        <v>54088</v>
      </c>
      <c r="M218" s="311">
        <f t="shared" si="2"/>
        <v>0.96351717258087499</v>
      </c>
      <c r="N218">
        <v>2048</v>
      </c>
      <c r="O218" s="311">
        <f t="shared" si="1"/>
        <v>3.648282741912498E-2</v>
      </c>
      <c r="W218"/>
      <c r="Y218" s="210"/>
    </row>
    <row r="219" spans="6:25" x14ac:dyDescent="0.2">
      <c r="F219" s="185" t="s">
        <v>499</v>
      </c>
      <c r="H219" s="185" t="s">
        <v>589</v>
      </c>
      <c r="I219" t="s">
        <v>499</v>
      </c>
      <c r="K219">
        <v>1530</v>
      </c>
      <c r="L219">
        <v>1258</v>
      </c>
      <c r="M219" s="311">
        <f t="shared" si="2"/>
        <v>0.82222222222222219</v>
      </c>
      <c r="N219">
        <v>272</v>
      </c>
      <c r="O219" s="311">
        <f t="shared" si="1"/>
        <v>0.17777777777777778</v>
      </c>
      <c r="W219"/>
      <c r="Y219" s="210"/>
    </row>
    <row r="220" spans="6:25" x14ac:dyDescent="0.2">
      <c r="F220" s="185" t="s">
        <v>547</v>
      </c>
      <c r="H220" s="185" t="s">
        <v>664</v>
      </c>
      <c r="I220" t="s">
        <v>547</v>
      </c>
      <c r="K220">
        <v>3636</v>
      </c>
      <c r="L220">
        <v>3326</v>
      </c>
      <c r="M220" s="311">
        <f t="shared" si="2"/>
        <v>0.91474147414741469</v>
      </c>
      <c r="N220">
        <v>310</v>
      </c>
      <c r="O220" s="311">
        <f t="shared" ref="O220:O251" si="3">N220/K220</f>
        <v>8.5258525852585254E-2</v>
      </c>
      <c r="W220"/>
      <c r="Y220" s="210"/>
    </row>
    <row r="221" spans="6:25" s="315" customFormat="1" x14ac:dyDescent="0.2">
      <c r="F221" s="314" t="s">
        <v>506</v>
      </c>
      <c r="H221" s="314" t="s">
        <v>614</v>
      </c>
      <c r="I221" s="314" t="s">
        <v>506</v>
      </c>
      <c r="K221">
        <v>12400</v>
      </c>
      <c r="L221">
        <v>11303</v>
      </c>
      <c r="M221" s="311">
        <f t="shared" si="2"/>
        <v>0.9115322580645161</v>
      </c>
      <c r="N221">
        <v>1097</v>
      </c>
      <c r="O221" s="311">
        <f t="shared" si="3"/>
        <v>8.8467741935483873E-2</v>
      </c>
      <c r="Y221" s="210"/>
    </row>
    <row r="222" spans="6:25" x14ac:dyDescent="0.2">
      <c r="F222" s="185" t="s">
        <v>507</v>
      </c>
      <c r="H222" s="185" t="s">
        <v>615</v>
      </c>
      <c r="I222" t="s">
        <v>882</v>
      </c>
      <c r="K222">
        <v>2013</v>
      </c>
      <c r="L222">
        <v>1737</v>
      </c>
      <c r="M222" s="311">
        <f t="shared" si="2"/>
        <v>0.8628912071535022</v>
      </c>
      <c r="N222">
        <v>276</v>
      </c>
      <c r="O222" s="311">
        <f t="shared" si="3"/>
        <v>0.13710879284649777</v>
      </c>
      <c r="W222"/>
      <c r="Y222" s="210"/>
    </row>
    <row r="223" spans="6:25" x14ac:dyDescent="0.2">
      <c r="F223" s="185" t="s">
        <v>597</v>
      </c>
      <c r="H223" s="185" t="s">
        <v>596</v>
      </c>
      <c r="I223" t="s">
        <v>597</v>
      </c>
      <c r="K223">
        <v>18450</v>
      </c>
      <c r="L223">
        <v>16528</v>
      </c>
      <c r="M223" s="311">
        <f t="shared" si="2"/>
        <v>0.89582655826558266</v>
      </c>
      <c r="N223">
        <v>1922</v>
      </c>
      <c r="O223" s="311">
        <f t="shared" si="3"/>
        <v>0.10417344173441734</v>
      </c>
      <c r="W223"/>
      <c r="Y223" s="210"/>
    </row>
    <row r="224" spans="6:25" x14ac:dyDescent="0.2">
      <c r="F224" s="185" t="s">
        <v>599</v>
      </c>
      <c r="H224" s="185" t="s">
        <v>598</v>
      </c>
      <c r="I224" t="s">
        <v>597</v>
      </c>
      <c r="K224">
        <v>18450</v>
      </c>
      <c r="L224">
        <v>16528</v>
      </c>
      <c r="M224" s="311">
        <f t="shared" si="2"/>
        <v>0.89582655826558266</v>
      </c>
      <c r="N224">
        <v>1922</v>
      </c>
      <c r="O224" s="311">
        <f t="shared" si="3"/>
        <v>0.10417344173441734</v>
      </c>
      <c r="W224"/>
      <c r="Y224" s="210"/>
    </row>
    <row r="225" spans="5:25" x14ac:dyDescent="0.2">
      <c r="F225" s="185" t="s">
        <v>525</v>
      </c>
      <c r="H225" s="185" t="s">
        <v>634</v>
      </c>
      <c r="I225" s="185" t="s">
        <v>525</v>
      </c>
      <c r="K225">
        <v>17095</v>
      </c>
      <c r="L225">
        <v>15863</v>
      </c>
      <c r="M225" s="311">
        <f t="shared" si="2"/>
        <v>0.92793214390172563</v>
      </c>
      <c r="N225">
        <v>1232</v>
      </c>
      <c r="O225" s="311">
        <f t="shared" si="3"/>
        <v>7.2067856098274347E-2</v>
      </c>
      <c r="W225"/>
      <c r="Y225" s="210"/>
    </row>
    <row r="226" spans="5:25" x14ac:dyDescent="0.2">
      <c r="E226" t="s">
        <v>497</v>
      </c>
      <c r="F226" s="185" t="s">
        <v>500</v>
      </c>
      <c r="H226" s="185" t="s">
        <v>590</v>
      </c>
      <c r="I226" t="s">
        <v>500</v>
      </c>
      <c r="K226">
        <v>1944</v>
      </c>
      <c r="L226">
        <v>1652</v>
      </c>
      <c r="M226" s="311">
        <f t="shared" si="2"/>
        <v>0.84979423868312753</v>
      </c>
      <c r="N226">
        <v>292</v>
      </c>
      <c r="O226" s="311">
        <f t="shared" si="3"/>
        <v>0.15020576131687244</v>
      </c>
      <c r="W226"/>
      <c r="Y226" s="210"/>
    </row>
    <row r="227" spans="5:25" x14ac:dyDescent="0.2">
      <c r="E227" t="s">
        <v>518</v>
      </c>
      <c r="F227" s="185" t="s">
        <v>500</v>
      </c>
      <c r="H227" s="185" t="s">
        <v>625</v>
      </c>
      <c r="I227" s="185" t="s">
        <v>500</v>
      </c>
      <c r="K227">
        <v>55196</v>
      </c>
      <c r="L227">
        <v>53625</v>
      </c>
      <c r="M227" s="311">
        <f t="shared" si="2"/>
        <v>0.97153779259366624</v>
      </c>
      <c r="N227">
        <v>1571</v>
      </c>
      <c r="O227" s="311">
        <f t="shared" si="3"/>
        <v>2.8462207406333793E-2</v>
      </c>
      <c r="W227"/>
      <c r="Y227" s="210"/>
    </row>
    <row r="228" spans="5:25" x14ac:dyDescent="0.2">
      <c r="F228" s="185" t="s">
        <v>605</v>
      </c>
      <c r="H228" s="185" t="s">
        <v>604</v>
      </c>
      <c r="I228" t="s">
        <v>878</v>
      </c>
      <c r="K228">
        <v>4486</v>
      </c>
      <c r="L228">
        <v>3556</v>
      </c>
      <c r="M228" s="311">
        <f t="shared" si="2"/>
        <v>0.79268836379848417</v>
      </c>
      <c r="N228">
        <v>930</v>
      </c>
      <c r="O228" s="311">
        <f t="shared" si="3"/>
        <v>0.20731163620151583</v>
      </c>
      <c r="W228"/>
      <c r="Y228" s="210"/>
    </row>
    <row r="229" spans="5:25" x14ac:dyDescent="0.2">
      <c r="F229" s="185" t="s">
        <v>548</v>
      </c>
      <c r="H229" s="185" t="s">
        <v>665</v>
      </c>
      <c r="I229" s="185" t="s">
        <v>548</v>
      </c>
      <c r="K229">
        <v>56136</v>
      </c>
      <c r="L229">
        <v>54088</v>
      </c>
      <c r="M229" s="311">
        <f t="shared" si="2"/>
        <v>0.96351717258087499</v>
      </c>
      <c r="N229">
        <v>2048</v>
      </c>
      <c r="O229" s="311">
        <f t="shared" si="3"/>
        <v>3.648282741912498E-2</v>
      </c>
      <c r="W229"/>
      <c r="Y229" s="210"/>
    </row>
    <row r="230" spans="5:25" x14ac:dyDescent="0.2">
      <c r="F230" s="185" t="s">
        <v>526</v>
      </c>
      <c r="H230" s="185" t="s">
        <v>635</v>
      </c>
      <c r="I230" s="185" t="s">
        <v>526</v>
      </c>
      <c r="K230">
        <v>1944</v>
      </c>
      <c r="L230">
        <v>1652</v>
      </c>
      <c r="M230" s="311">
        <f t="shared" si="2"/>
        <v>0.84979423868312753</v>
      </c>
      <c r="N230">
        <v>292</v>
      </c>
      <c r="O230" s="311">
        <f t="shared" si="3"/>
        <v>0.15020576131687244</v>
      </c>
      <c r="W230"/>
      <c r="Y230" s="210"/>
    </row>
    <row r="231" spans="5:25" x14ac:dyDescent="0.2">
      <c r="F231" s="185" t="s">
        <v>534</v>
      </c>
      <c r="H231" s="185" t="s">
        <v>643</v>
      </c>
      <c r="I231" t="s">
        <v>534</v>
      </c>
      <c r="K231">
        <v>1077</v>
      </c>
      <c r="L231">
        <v>808</v>
      </c>
      <c r="M231" s="311">
        <f t="shared" si="2"/>
        <v>0.75023212627669456</v>
      </c>
      <c r="N231">
        <v>269</v>
      </c>
      <c r="O231" s="311">
        <f t="shared" si="3"/>
        <v>0.24976787372330547</v>
      </c>
      <c r="W231"/>
      <c r="Y231" s="210"/>
    </row>
    <row r="232" spans="5:25" x14ac:dyDescent="0.2">
      <c r="F232" s="185" t="s">
        <v>564</v>
      </c>
      <c r="H232" s="185" t="s">
        <v>681</v>
      </c>
      <c r="I232" t="s">
        <v>893</v>
      </c>
      <c r="K232">
        <v>1356</v>
      </c>
      <c r="L232">
        <v>1285</v>
      </c>
      <c r="M232" s="311">
        <f t="shared" si="2"/>
        <v>0.94764011799410031</v>
      </c>
      <c r="N232">
        <v>71</v>
      </c>
      <c r="O232" s="311">
        <f t="shared" si="3"/>
        <v>5.2359882005899708E-2</v>
      </c>
      <c r="W232"/>
      <c r="Y232" s="210"/>
    </row>
    <row r="233" spans="5:25" x14ac:dyDescent="0.2">
      <c r="F233" s="185" t="s">
        <v>611</v>
      </c>
      <c r="H233" s="185" t="s">
        <v>610</v>
      </c>
      <c r="I233" t="s">
        <v>904</v>
      </c>
      <c r="K233">
        <v>3804</v>
      </c>
      <c r="L233">
        <v>3298</v>
      </c>
      <c r="M233" s="311">
        <f t="shared" si="2"/>
        <v>0.86698212407991593</v>
      </c>
      <c r="N233">
        <v>506</v>
      </c>
      <c r="O233" s="311">
        <f t="shared" si="3"/>
        <v>0.13301787592008413</v>
      </c>
      <c r="W233"/>
      <c r="Y233" s="210"/>
    </row>
    <row r="234" spans="5:25" x14ac:dyDescent="0.2">
      <c r="F234" s="185" t="s">
        <v>504</v>
      </c>
      <c r="H234" s="185" t="s">
        <v>612</v>
      </c>
      <c r="I234" t="s">
        <v>905</v>
      </c>
      <c r="K234">
        <v>4373</v>
      </c>
      <c r="L234">
        <v>4046</v>
      </c>
      <c r="M234" s="311">
        <f t="shared" si="2"/>
        <v>0.92522295906700203</v>
      </c>
      <c r="N234">
        <v>327</v>
      </c>
      <c r="O234" s="311">
        <f t="shared" si="3"/>
        <v>7.4777040932997946E-2</v>
      </c>
      <c r="W234"/>
      <c r="Y234" s="210"/>
    </row>
    <row r="235" spans="5:25" x14ac:dyDescent="0.2">
      <c r="F235" s="185" t="s">
        <v>508</v>
      </c>
      <c r="H235" s="185" t="s">
        <v>616</v>
      </c>
      <c r="I235" t="s">
        <v>880</v>
      </c>
      <c r="K235">
        <v>12400</v>
      </c>
      <c r="L235">
        <v>11303</v>
      </c>
      <c r="M235" s="311">
        <f t="shared" si="2"/>
        <v>0.9115322580645161</v>
      </c>
      <c r="N235">
        <v>1097</v>
      </c>
      <c r="O235" s="311">
        <f t="shared" si="3"/>
        <v>8.8467741935483873E-2</v>
      </c>
      <c r="W235"/>
      <c r="Y235" s="210"/>
    </row>
    <row r="236" spans="5:25" x14ac:dyDescent="0.2">
      <c r="F236" s="185" t="s">
        <v>509</v>
      </c>
      <c r="H236" s="185" t="s">
        <v>617</v>
      </c>
      <c r="I236" t="s">
        <v>509</v>
      </c>
      <c r="K236">
        <v>589</v>
      </c>
      <c r="L236">
        <v>487</v>
      </c>
      <c r="M236" s="311">
        <f t="shared" si="2"/>
        <v>0.82682512733446523</v>
      </c>
      <c r="N236">
        <v>102</v>
      </c>
      <c r="O236" s="311">
        <f t="shared" si="3"/>
        <v>0.1731748726655348</v>
      </c>
      <c r="W236"/>
      <c r="Y236" s="210"/>
    </row>
    <row r="237" spans="5:25" x14ac:dyDescent="0.2">
      <c r="F237" s="185" t="s">
        <v>516</v>
      </c>
      <c r="H237" s="185" t="s">
        <v>624</v>
      </c>
      <c r="I237" t="s">
        <v>885</v>
      </c>
      <c r="K237">
        <v>4763</v>
      </c>
      <c r="L237">
        <v>4287</v>
      </c>
      <c r="M237" s="311">
        <f t="shared" si="2"/>
        <v>0.90006298551333197</v>
      </c>
      <c r="N237">
        <v>476</v>
      </c>
      <c r="O237" s="311">
        <f t="shared" si="3"/>
        <v>9.9937014486668072E-2</v>
      </c>
      <c r="W237"/>
      <c r="Y237" s="210"/>
    </row>
    <row r="238" spans="5:25" x14ac:dyDescent="0.2">
      <c r="F238" s="185" t="s">
        <v>527</v>
      </c>
      <c r="H238" s="185" t="s">
        <v>636</v>
      </c>
      <c r="I238" t="s">
        <v>527</v>
      </c>
      <c r="K238">
        <v>646</v>
      </c>
      <c r="L238">
        <v>588</v>
      </c>
      <c r="M238" s="311">
        <f t="shared" si="2"/>
        <v>0.91021671826625383</v>
      </c>
      <c r="N238">
        <v>58</v>
      </c>
      <c r="O238" s="311">
        <f t="shared" si="3"/>
        <v>8.9783281733746126E-2</v>
      </c>
      <c r="W238"/>
      <c r="Y238" s="210"/>
    </row>
    <row r="239" spans="5:25" x14ac:dyDescent="0.2">
      <c r="F239" s="185" t="s">
        <v>510</v>
      </c>
      <c r="H239" s="185" t="s">
        <v>618</v>
      </c>
      <c r="I239" t="s">
        <v>883</v>
      </c>
      <c r="K239">
        <v>586</v>
      </c>
      <c r="L239">
        <v>478</v>
      </c>
      <c r="M239" s="311">
        <f t="shared" si="2"/>
        <v>0.81569965870307171</v>
      </c>
      <c r="N239">
        <v>108</v>
      </c>
      <c r="O239" s="311">
        <f t="shared" si="3"/>
        <v>0.18430034129692832</v>
      </c>
      <c r="W239"/>
      <c r="Y239" s="210"/>
    </row>
    <row r="240" spans="5:25" x14ac:dyDescent="0.2">
      <c r="F240" s="185" t="s">
        <v>510</v>
      </c>
      <c r="H240" s="185" t="s">
        <v>682</v>
      </c>
      <c r="I240" t="s">
        <v>883</v>
      </c>
      <c r="K240">
        <v>1458</v>
      </c>
      <c r="L240">
        <v>1342</v>
      </c>
      <c r="M240" s="311">
        <f t="shared" si="2"/>
        <v>0.92043895747599447</v>
      </c>
      <c r="N240">
        <v>116</v>
      </c>
      <c r="O240" s="311">
        <f t="shared" si="3"/>
        <v>7.956104252400549E-2</v>
      </c>
      <c r="W240"/>
      <c r="Y240" s="210"/>
    </row>
    <row r="241" spans="6:25" x14ac:dyDescent="0.2">
      <c r="F241" s="185" t="s">
        <v>535</v>
      </c>
      <c r="H241" s="185" t="s">
        <v>644</v>
      </c>
      <c r="I241" t="s">
        <v>535</v>
      </c>
      <c r="K241">
        <v>1299</v>
      </c>
      <c r="L241">
        <v>1037</v>
      </c>
      <c r="M241" s="311">
        <f t="shared" si="2"/>
        <v>0.798306389530408</v>
      </c>
      <c r="N241">
        <v>262</v>
      </c>
      <c r="O241" s="311">
        <f t="shared" si="3"/>
        <v>0.201693610469592</v>
      </c>
      <c r="W241"/>
      <c r="Y241" s="210"/>
    </row>
    <row r="242" spans="6:25" x14ac:dyDescent="0.2">
      <c r="F242" s="185" t="s">
        <v>571</v>
      </c>
      <c r="H242" s="185" t="s">
        <v>691</v>
      </c>
      <c r="I242" s="185" t="s">
        <v>571</v>
      </c>
      <c r="K242">
        <v>6767</v>
      </c>
      <c r="L242">
        <v>6242</v>
      </c>
      <c r="M242" s="311">
        <f t="shared" si="2"/>
        <v>0.92241761489581797</v>
      </c>
      <c r="N242">
        <v>525</v>
      </c>
      <c r="O242" s="311">
        <f t="shared" si="3"/>
        <v>7.7582385104182056E-2</v>
      </c>
      <c r="W242"/>
      <c r="Y242" s="210"/>
    </row>
    <row r="243" spans="6:25" x14ac:dyDescent="0.2">
      <c r="F243" s="185" t="s">
        <v>528</v>
      </c>
      <c r="H243" s="185" t="s">
        <v>637</v>
      </c>
      <c r="I243" s="185" t="s">
        <v>528</v>
      </c>
      <c r="K243">
        <v>17095</v>
      </c>
      <c r="L243">
        <v>15863</v>
      </c>
      <c r="M243" s="311">
        <f t="shared" si="2"/>
        <v>0.92793214390172563</v>
      </c>
      <c r="N243">
        <v>1232</v>
      </c>
      <c r="O243" s="311">
        <f t="shared" si="3"/>
        <v>7.2067856098274347E-2</v>
      </c>
      <c r="W243"/>
      <c r="Y243" s="210"/>
    </row>
    <row r="244" spans="6:25" x14ac:dyDescent="0.2">
      <c r="F244" s="185" t="s">
        <v>565</v>
      </c>
      <c r="H244" s="185" t="s">
        <v>683</v>
      </c>
      <c r="I244" s="185" t="s">
        <v>565</v>
      </c>
      <c r="K244">
        <v>5364</v>
      </c>
      <c r="L244">
        <v>5158</v>
      </c>
      <c r="M244" s="311">
        <f t="shared" si="2"/>
        <v>0.96159582401193144</v>
      </c>
      <c r="N244">
        <v>206</v>
      </c>
      <c r="O244" s="311">
        <f t="shared" si="3"/>
        <v>3.8404175988068605E-2</v>
      </c>
      <c r="W244"/>
      <c r="Y244" s="210"/>
    </row>
    <row r="245" spans="6:25" x14ac:dyDescent="0.2">
      <c r="F245" s="185" t="s">
        <v>517</v>
      </c>
      <c r="H245" s="185" t="s">
        <v>626</v>
      </c>
      <c r="I245" s="185" t="s">
        <v>517</v>
      </c>
      <c r="K245">
        <v>55196</v>
      </c>
      <c r="L245">
        <v>53625</v>
      </c>
      <c r="M245" s="311">
        <f t="shared" si="2"/>
        <v>0.97153779259366624</v>
      </c>
      <c r="N245">
        <v>1571</v>
      </c>
      <c r="O245" s="311">
        <f t="shared" si="3"/>
        <v>2.8462207406333793E-2</v>
      </c>
      <c r="W245"/>
      <c r="Y245" s="210"/>
    </row>
    <row r="246" spans="6:25" x14ac:dyDescent="0.2">
      <c r="F246" s="185" t="s">
        <v>557</v>
      </c>
      <c r="H246" s="185" t="s">
        <v>674</v>
      </c>
      <c r="I246" t="s">
        <v>557</v>
      </c>
      <c r="K246">
        <v>1205</v>
      </c>
      <c r="L246">
        <v>1067</v>
      </c>
      <c r="M246" s="311">
        <f t="shared" si="2"/>
        <v>0.88547717842323648</v>
      </c>
      <c r="N246">
        <v>138</v>
      </c>
      <c r="O246" s="311">
        <f t="shared" si="3"/>
        <v>0.11452282157676348</v>
      </c>
      <c r="W246"/>
      <c r="Y246" s="210"/>
    </row>
    <row r="247" spans="6:25" x14ac:dyDescent="0.2">
      <c r="F247" s="185" t="s">
        <v>518</v>
      </c>
      <c r="H247" s="185" t="s">
        <v>627</v>
      </c>
      <c r="I247" t="s">
        <v>518</v>
      </c>
      <c r="K247">
        <v>55196</v>
      </c>
      <c r="L247">
        <v>53625</v>
      </c>
      <c r="M247" s="311">
        <f t="shared" si="2"/>
        <v>0.97153779259366624</v>
      </c>
      <c r="N247">
        <v>1571</v>
      </c>
      <c r="O247" s="311">
        <f t="shared" si="3"/>
        <v>2.8462207406333793E-2</v>
      </c>
      <c r="W247"/>
      <c r="Y247" s="210"/>
    </row>
    <row r="248" spans="6:25" x14ac:dyDescent="0.2">
      <c r="F248" s="185" t="s">
        <v>519</v>
      </c>
      <c r="H248" s="185" t="s">
        <v>628</v>
      </c>
      <c r="I248" t="s">
        <v>518</v>
      </c>
      <c r="K248">
        <v>55196</v>
      </c>
      <c r="L248">
        <v>53625</v>
      </c>
      <c r="M248" s="311">
        <f t="shared" si="2"/>
        <v>0.97153779259366624</v>
      </c>
      <c r="N248">
        <v>1571</v>
      </c>
      <c r="O248" s="311">
        <f t="shared" si="3"/>
        <v>2.8462207406333793E-2</v>
      </c>
      <c r="W248"/>
      <c r="Y248" s="210"/>
    </row>
    <row r="249" spans="6:25" x14ac:dyDescent="0.2">
      <c r="F249" s="185" t="s">
        <v>511</v>
      </c>
      <c r="H249" s="185" t="s">
        <v>619</v>
      </c>
      <c r="I249" s="185" t="s">
        <v>511</v>
      </c>
      <c r="K249">
        <v>12400</v>
      </c>
      <c r="L249">
        <v>11303</v>
      </c>
      <c r="M249" s="311">
        <f t="shared" si="2"/>
        <v>0.9115322580645161</v>
      </c>
      <c r="N249">
        <v>1097</v>
      </c>
      <c r="O249" s="311">
        <f t="shared" si="3"/>
        <v>8.8467741935483873E-2</v>
      </c>
      <c r="W249"/>
      <c r="Y249" s="210"/>
    </row>
    <row r="250" spans="6:25" x14ac:dyDescent="0.2">
      <c r="F250" s="185" t="s">
        <v>512</v>
      </c>
      <c r="H250" s="185" t="s">
        <v>620</v>
      </c>
      <c r="I250" t="s">
        <v>512</v>
      </c>
      <c r="K250">
        <v>322</v>
      </c>
      <c r="L250">
        <v>248</v>
      </c>
      <c r="M250" s="311">
        <f t="shared" si="2"/>
        <v>0.77018633540372672</v>
      </c>
      <c r="N250">
        <v>74</v>
      </c>
      <c r="O250" s="311">
        <f t="shared" si="3"/>
        <v>0.22981366459627328</v>
      </c>
      <c r="W250"/>
      <c r="Y250" s="210"/>
    </row>
    <row r="251" spans="6:25" x14ac:dyDescent="0.2">
      <c r="F251" s="185" t="s">
        <v>492</v>
      </c>
      <c r="H251" s="185" t="s">
        <v>582</v>
      </c>
      <c r="I251" t="s">
        <v>492</v>
      </c>
      <c r="K251">
        <v>814</v>
      </c>
      <c r="L251">
        <v>662</v>
      </c>
      <c r="M251" s="311">
        <f t="shared" si="2"/>
        <v>0.81326781326781328</v>
      </c>
      <c r="N251">
        <v>152</v>
      </c>
      <c r="O251" s="311">
        <f t="shared" si="3"/>
        <v>0.18673218673218672</v>
      </c>
      <c r="W251"/>
      <c r="Y251" s="210"/>
    </row>
    <row r="252" spans="6:25" x14ac:dyDescent="0.2">
      <c r="F252" s="185" t="s">
        <v>529</v>
      </c>
      <c r="H252" s="185" t="s">
        <v>638</v>
      </c>
      <c r="I252" t="s">
        <v>529</v>
      </c>
      <c r="K252">
        <v>17095</v>
      </c>
      <c r="L252">
        <v>15863</v>
      </c>
      <c r="M252" s="311">
        <f t="shared" si="2"/>
        <v>0.92793214390172563</v>
      </c>
      <c r="N252">
        <v>1232</v>
      </c>
      <c r="O252" s="311">
        <f t="shared" ref="O252:O283" si="4">N252/K252</f>
        <v>7.2067856098274347E-2</v>
      </c>
      <c r="W252"/>
      <c r="Y252" s="210"/>
    </row>
    <row r="253" spans="6:25" x14ac:dyDescent="0.2">
      <c r="F253" s="185" t="s">
        <v>530</v>
      </c>
      <c r="H253" s="185" t="s">
        <v>639</v>
      </c>
      <c r="I253" t="s">
        <v>529</v>
      </c>
      <c r="K253">
        <v>17095</v>
      </c>
      <c r="L253">
        <v>15863</v>
      </c>
      <c r="M253" s="311">
        <f t="shared" ref="M253:M292" si="5">L253/K253</f>
        <v>0.92793214390172563</v>
      </c>
      <c r="N253">
        <v>1232</v>
      </c>
      <c r="O253" s="311">
        <f t="shared" si="4"/>
        <v>7.2067856098274347E-2</v>
      </c>
      <c r="W253"/>
      <c r="Y253" s="210"/>
    </row>
    <row r="254" spans="6:25" x14ac:dyDescent="0.2">
      <c r="F254" s="185" t="s">
        <v>489</v>
      </c>
      <c r="H254" s="185" t="s">
        <v>579</v>
      </c>
      <c r="I254" t="s">
        <v>489</v>
      </c>
      <c r="K254">
        <v>1754</v>
      </c>
      <c r="L254">
        <v>1504</v>
      </c>
      <c r="M254" s="311">
        <f t="shared" si="5"/>
        <v>0.8574686431014823</v>
      </c>
      <c r="N254">
        <v>250</v>
      </c>
      <c r="O254" s="311">
        <f t="shared" si="4"/>
        <v>0.14253135689851767</v>
      </c>
      <c r="W254"/>
      <c r="Y254" s="210"/>
    </row>
    <row r="255" spans="6:25" x14ac:dyDescent="0.2">
      <c r="F255" s="185" t="s">
        <v>531</v>
      </c>
      <c r="H255" s="185" t="s">
        <v>640</v>
      </c>
      <c r="I255" t="s">
        <v>902</v>
      </c>
      <c r="K255">
        <v>2526</v>
      </c>
      <c r="L255">
        <v>2221</v>
      </c>
      <c r="M255" s="311">
        <f t="shared" si="5"/>
        <v>0.87925574030087095</v>
      </c>
      <c r="N255">
        <v>305</v>
      </c>
      <c r="O255" s="311">
        <f t="shared" si="4"/>
        <v>0.12074425969912905</v>
      </c>
      <c r="W255"/>
      <c r="Y255" s="210"/>
    </row>
    <row r="256" spans="6:25" x14ac:dyDescent="0.2">
      <c r="F256" s="185" t="s">
        <v>536</v>
      </c>
      <c r="H256" s="185" t="s">
        <v>645</v>
      </c>
      <c r="I256" t="s">
        <v>887</v>
      </c>
      <c r="K256">
        <v>3479</v>
      </c>
      <c r="L256">
        <v>3009</v>
      </c>
      <c r="M256" s="311">
        <f t="shared" si="5"/>
        <v>0.86490370796205807</v>
      </c>
      <c r="N256">
        <v>470</v>
      </c>
      <c r="O256" s="311">
        <f t="shared" si="4"/>
        <v>0.13509629203794193</v>
      </c>
      <c r="W256"/>
      <c r="Y256" s="210"/>
    </row>
    <row r="257" spans="6:25" x14ac:dyDescent="0.2">
      <c r="F257" s="185" t="s">
        <v>653</v>
      </c>
      <c r="H257" s="185" t="s">
        <v>652</v>
      </c>
      <c r="I257" t="s">
        <v>900</v>
      </c>
      <c r="K257">
        <v>7363</v>
      </c>
      <c r="L257">
        <v>6158</v>
      </c>
      <c r="M257" s="311">
        <f t="shared" si="5"/>
        <v>0.83634388157001227</v>
      </c>
      <c r="N257">
        <v>1205</v>
      </c>
      <c r="O257" s="311">
        <f t="shared" si="4"/>
        <v>0.16365611842998778</v>
      </c>
      <c r="W257"/>
      <c r="Y257" s="210"/>
    </row>
    <row r="258" spans="6:25" x14ac:dyDescent="0.2">
      <c r="F258" s="185" t="s">
        <v>513</v>
      </c>
      <c r="H258" s="185" t="s">
        <v>621</v>
      </c>
      <c r="I258" t="s">
        <v>884</v>
      </c>
      <c r="K258">
        <v>1064</v>
      </c>
      <c r="L258">
        <v>802</v>
      </c>
      <c r="M258" s="311">
        <f t="shared" si="5"/>
        <v>0.75375939849624063</v>
      </c>
      <c r="N258">
        <v>262</v>
      </c>
      <c r="O258" s="311">
        <f t="shared" si="4"/>
        <v>0.2462406015037594</v>
      </c>
      <c r="W258"/>
      <c r="Y258" s="210"/>
    </row>
    <row r="259" spans="6:25" x14ac:dyDescent="0.2">
      <c r="F259" s="185" t="s">
        <v>538</v>
      </c>
      <c r="H259" s="185" t="s">
        <v>655</v>
      </c>
      <c r="I259" t="s">
        <v>889</v>
      </c>
      <c r="K259">
        <v>4015</v>
      </c>
      <c r="L259">
        <v>3307</v>
      </c>
      <c r="M259" s="311">
        <f t="shared" si="5"/>
        <v>0.82366127023661273</v>
      </c>
      <c r="N259">
        <v>708</v>
      </c>
      <c r="O259" s="311">
        <f t="shared" si="4"/>
        <v>0.1763387297633873</v>
      </c>
      <c r="W259"/>
      <c r="Y259" s="210"/>
    </row>
    <row r="260" spans="6:25" x14ac:dyDescent="0.2">
      <c r="F260" s="185" t="s">
        <v>549</v>
      </c>
      <c r="H260" s="185" t="s">
        <v>666</v>
      </c>
      <c r="I260" s="185" t="s">
        <v>549</v>
      </c>
      <c r="K260">
        <v>56136</v>
      </c>
      <c r="L260">
        <v>54088</v>
      </c>
      <c r="M260" s="311">
        <f t="shared" si="5"/>
        <v>0.96351717258087499</v>
      </c>
      <c r="N260">
        <v>2048</v>
      </c>
      <c r="O260" s="311">
        <f t="shared" si="4"/>
        <v>3.648282741912498E-2</v>
      </c>
      <c r="W260"/>
      <c r="Y260" s="210"/>
    </row>
    <row r="261" spans="6:25" x14ac:dyDescent="0.2">
      <c r="F261" s="185" t="s">
        <v>550</v>
      </c>
      <c r="H261" s="185" t="s">
        <v>667</v>
      </c>
      <c r="I261" t="s">
        <v>550</v>
      </c>
      <c r="K261">
        <v>56136</v>
      </c>
      <c r="L261">
        <v>54088</v>
      </c>
      <c r="M261" s="311">
        <f t="shared" si="5"/>
        <v>0.96351717258087499</v>
      </c>
      <c r="N261">
        <v>2048</v>
      </c>
      <c r="O261" s="311">
        <f t="shared" si="4"/>
        <v>3.648282741912498E-2</v>
      </c>
      <c r="W261"/>
      <c r="Y261" s="210"/>
    </row>
    <row r="262" spans="6:25" x14ac:dyDescent="0.2">
      <c r="F262" s="185" t="s">
        <v>551</v>
      </c>
      <c r="H262" s="185" t="s">
        <v>668</v>
      </c>
      <c r="I262" t="s">
        <v>550</v>
      </c>
      <c r="K262">
        <v>56136</v>
      </c>
      <c r="L262">
        <v>54088</v>
      </c>
      <c r="M262" s="311">
        <f t="shared" si="5"/>
        <v>0.96351717258087499</v>
      </c>
      <c r="N262">
        <v>2048</v>
      </c>
      <c r="O262" s="311">
        <f t="shared" si="4"/>
        <v>3.648282741912498E-2</v>
      </c>
      <c r="W262"/>
      <c r="Y262" s="210"/>
    </row>
    <row r="263" spans="6:25" x14ac:dyDescent="0.2">
      <c r="F263" s="185" t="s">
        <v>552</v>
      </c>
      <c r="H263" s="185" t="s">
        <v>669</v>
      </c>
      <c r="I263" t="s">
        <v>552</v>
      </c>
      <c r="K263">
        <v>777</v>
      </c>
      <c r="L263">
        <v>666</v>
      </c>
      <c r="M263" s="311">
        <f t="shared" si="5"/>
        <v>0.8571428571428571</v>
      </c>
      <c r="N263">
        <v>111</v>
      </c>
      <c r="O263" s="311">
        <f t="shared" si="4"/>
        <v>0.14285714285714285</v>
      </c>
    </row>
    <row r="264" spans="6:25" x14ac:dyDescent="0.2">
      <c r="F264" s="185" t="s">
        <v>514</v>
      </c>
      <c r="H264" s="185" t="s">
        <v>622</v>
      </c>
      <c r="I264" t="s">
        <v>514</v>
      </c>
      <c r="K264">
        <v>891</v>
      </c>
      <c r="L264">
        <v>844</v>
      </c>
      <c r="M264" s="311">
        <f t="shared" si="5"/>
        <v>0.94725028058361394</v>
      </c>
      <c r="N264">
        <v>47</v>
      </c>
      <c r="O264" s="311">
        <f t="shared" si="4"/>
        <v>5.2749719416386086E-2</v>
      </c>
    </row>
    <row r="265" spans="6:25" x14ac:dyDescent="0.2">
      <c r="F265" s="185" t="s">
        <v>558</v>
      </c>
      <c r="H265" s="185" t="s">
        <v>675</v>
      </c>
      <c r="I265" t="s">
        <v>903</v>
      </c>
      <c r="K265">
        <v>2673</v>
      </c>
      <c r="L265">
        <v>2459</v>
      </c>
      <c r="M265" s="311">
        <f t="shared" si="5"/>
        <v>0.91994014216236442</v>
      </c>
      <c r="N265">
        <v>214</v>
      </c>
      <c r="O265" s="311">
        <f t="shared" si="4"/>
        <v>8.0059857837635612E-2</v>
      </c>
    </row>
    <row r="266" spans="6:25" x14ac:dyDescent="0.2">
      <c r="F266" s="185" t="s">
        <v>493</v>
      </c>
      <c r="H266" s="185" t="s">
        <v>583</v>
      </c>
      <c r="I266" t="s">
        <v>493</v>
      </c>
      <c r="K266">
        <v>704</v>
      </c>
      <c r="L266">
        <v>627</v>
      </c>
      <c r="M266" s="311">
        <f t="shared" si="5"/>
        <v>0.890625</v>
      </c>
      <c r="N266">
        <v>77</v>
      </c>
      <c r="O266" s="311">
        <f t="shared" si="4"/>
        <v>0.109375</v>
      </c>
    </row>
    <row r="267" spans="6:25" ht="13.5" customHeight="1" x14ac:dyDescent="0.2">
      <c r="F267" s="185" t="s">
        <v>501</v>
      </c>
      <c r="H267" s="185" t="s">
        <v>591</v>
      </c>
      <c r="I267" t="s">
        <v>501</v>
      </c>
      <c r="K267">
        <v>1852</v>
      </c>
      <c r="L267">
        <v>1464</v>
      </c>
      <c r="M267" s="311">
        <f t="shared" si="5"/>
        <v>0.79049676025917925</v>
      </c>
      <c r="N267">
        <v>388</v>
      </c>
      <c r="O267" s="311">
        <f t="shared" si="4"/>
        <v>0.20950323974082075</v>
      </c>
    </row>
    <row r="268" spans="6:25" x14ac:dyDescent="0.2">
      <c r="F268" s="185" t="s">
        <v>553</v>
      </c>
      <c r="H268" s="185" t="s">
        <v>670</v>
      </c>
      <c r="I268" t="s">
        <v>873</v>
      </c>
      <c r="K268">
        <v>2991</v>
      </c>
      <c r="L268">
        <v>2854</v>
      </c>
      <c r="M268" s="311">
        <f t="shared" si="5"/>
        <v>0.95419592109662321</v>
      </c>
      <c r="N268">
        <v>137</v>
      </c>
      <c r="O268" s="311">
        <f t="shared" si="4"/>
        <v>4.5804078903376795E-2</v>
      </c>
    </row>
    <row r="269" spans="6:25" x14ac:dyDescent="0.2">
      <c r="F269" s="185" t="s">
        <v>560</v>
      </c>
      <c r="H269" s="185" t="s">
        <v>677</v>
      </c>
      <c r="I269" t="s">
        <v>891</v>
      </c>
      <c r="K269">
        <v>8740</v>
      </c>
      <c r="L269">
        <v>8204</v>
      </c>
      <c r="M269" s="311">
        <f t="shared" si="5"/>
        <v>0.93867276887871853</v>
      </c>
      <c r="N269">
        <v>536</v>
      </c>
      <c r="O269" s="311">
        <f t="shared" si="4"/>
        <v>6.1327231121281467E-2</v>
      </c>
    </row>
    <row r="270" spans="6:25" x14ac:dyDescent="0.2">
      <c r="F270" s="185" t="s">
        <v>559</v>
      </c>
      <c r="H270" s="185" t="s">
        <v>676</v>
      </c>
      <c r="I270" t="s">
        <v>559</v>
      </c>
      <c r="K270">
        <v>1145</v>
      </c>
      <c r="L270">
        <v>1038</v>
      </c>
      <c r="M270" s="311">
        <f t="shared" si="5"/>
        <v>0.90655021834061134</v>
      </c>
      <c r="N270">
        <v>107</v>
      </c>
      <c r="O270" s="311">
        <f t="shared" si="4"/>
        <v>9.344978165938865E-2</v>
      </c>
    </row>
    <row r="271" spans="6:25" x14ac:dyDescent="0.2">
      <c r="F271" s="185" t="s">
        <v>502</v>
      </c>
      <c r="H271" s="185" t="s">
        <v>592</v>
      </c>
      <c r="I271" t="s">
        <v>502</v>
      </c>
      <c r="K271">
        <v>2002</v>
      </c>
      <c r="L271">
        <v>1843</v>
      </c>
      <c r="M271" s="311">
        <f t="shared" si="5"/>
        <v>0.92057942057942055</v>
      </c>
      <c r="N271">
        <v>159</v>
      </c>
      <c r="O271" s="311">
        <f t="shared" si="4"/>
        <v>7.9420579420579424E-2</v>
      </c>
    </row>
    <row r="272" spans="6:25" x14ac:dyDescent="0.2">
      <c r="F272" s="185" t="s">
        <v>607</v>
      </c>
      <c r="H272" s="185" t="s">
        <v>606</v>
      </c>
      <c r="I272" t="s">
        <v>879</v>
      </c>
      <c r="K272">
        <v>627</v>
      </c>
      <c r="L272">
        <v>425</v>
      </c>
      <c r="M272" s="311">
        <f t="shared" si="5"/>
        <v>0.67783094098883567</v>
      </c>
      <c r="N272">
        <v>202</v>
      </c>
      <c r="O272" s="311">
        <f t="shared" si="4"/>
        <v>0.32216905901116427</v>
      </c>
    </row>
    <row r="273" spans="6:15" x14ac:dyDescent="0.2">
      <c r="F273" s="185" t="s">
        <v>572</v>
      </c>
      <c r="H273" s="185" t="s">
        <v>692</v>
      </c>
      <c r="I273" t="s">
        <v>572</v>
      </c>
      <c r="K273">
        <v>2738</v>
      </c>
      <c r="L273">
        <v>2349</v>
      </c>
      <c r="M273" s="311">
        <f t="shared" si="5"/>
        <v>0.85792549306062815</v>
      </c>
      <c r="N273">
        <v>389</v>
      </c>
      <c r="O273" s="311">
        <f t="shared" si="4"/>
        <v>0.14207450693937179</v>
      </c>
    </row>
    <row r="274" spans="6:15" x14ac:dyDescent="0.2">
      <c r="F274" s="185" t="s">
        <v>907</v>
      </c>
      <c r="H274" s="185" t="s">
        <v>629</v>
      </c>
      <c r="I274" t="s">
        <v>907</v>
      </c>
      <c r="K274">
        <v>663</v>
      </c>
      <c r="L274">
        <v>614</v>
      </c>
      <c r="M274" s="311">
        <f t="shared" si="5"/>
        <v>0.92609351432880849</v>
      </c>
      <c r="N274">
        <v>49</v>
      </c>
      <c r="O274" s="311">
        <f t="shared" si="4"/>
        <v>7.3906485671191555E-2</v>
      </c>
    </row>
    <row r="275" spans="6:15" x14ac:dyDescent="0.2">
      <c r="F275" s="185" t="s">
        <v>515</v>
      </c>
      <c r="H275" s="185" t="s">
        <v>623</v>
      </c>
      <c r="I275" s="185" t="s">
        <v>515</v>
      </c>
      <c r="K275">
        <v>12400</v>
      </c>
      <c r="L275">
        <v>11303</v>
      </c>
      <c r="M275" s="311">
        <f t="shared" si="5"/>
        <v>0.9115322580645161</v>
      </c>
      <c r="N275">
        <v>1097</v>
      </c>
      <c r="O275" s="311">
        <f t="shared" si="4"/>
        <v>8.8467741935483873E-2</v>
      </c>
    </row>
    <row r="276" spans="6:15" x14ac:dyDescent="0.2">
      <c r="F276" s="185" t="s">
        <v>521</v>
      </c>
      <c r="H276" s="185" t="s">
        <v>630</v>
      </c>
      <c r="I276" s="185" t="s">
        <v>521</v>
      </c>
      <c r="K276">
        <v>55196</v>
      </c>
      <c r="L276">
        <v>53625</v>
      </c>
      <c r="M276" s="311">
        <f t="shared" si="5"/>
        <v>0.97153779259366624</v>
      </c>
      <c r="N276">
        <v>1571</v>
      </c>
      <c r="O276" s="311">
        <f t="shared" si="4"/>
        <v>2.8462207406333793E-2</v>
      </c>
    </row>
    <row r="277" spans="6:15" x14ac:dyDescent="0.2">
      <c r="F277" s="185" t="s">
        <v>554</v>
      </c>
      <c r="H277" s="185" t="s">
        <v>671</v>
      </c>
      <c r="I277" s="185" t="s">
        <v>554</v>
      </c>
      <c r="K277">
        <v>56136</v>
      </c>
      <c r="L277">
        <v>54088</v>
      </c>
      <c r="M277" s="311">
        <f t="shared" si="5"/>
        <v>0.96351717258087499</v>
      </c>
      <c r="N277">
        <v>2048</v>
      </c>
      <c r="O277" s="311">
        <f t="shared" si="4"/>
        <v>3.648282741912498E-2</v>
      </c>
    </row>
    <row r="278" spans="6:15" x14ac:dyDescent="0.2">
      <c r="F278" s="185" t="s">
        <v>566</v>
      </c>
      <c r="H278" s="185" t="s">
        <v>684</v>
      </c>
      <c r="I278" s="185" t="s">
        <v>566</v>
      </c>
      <c r="K278">
        <v>1196</v>
      </c>
      <c r="L278">
        <v>1071</v>
      </c>
      <c r="M278" s="311">
        <f t="shared" si="5"/>
        <v>0.89548494983277593</v>
      </c>
      <c r="N278">
        <v>125</v>
      </c>
      <c r="O278" s="311">
        <f t="shared" si="4"/>
        <v>0.10451505016722408</v>
      </c>
    </row>
    <row r="279" spans="6:15" x14ac:dyDescent="0.2">
      <c r="F279" s="185" t="s">
        <v>601</v>
      </c>
      <c r="H279" s="185" t="s">
        <v>600</v>
      </c>
      <c r="I279" t="s">
        <v>601</v>
      </c>
      <c r="K279">
        <v>1588</v>
      </c>
      <c r="L279">
        <v>1345</v>
      </c>
      <c r="M279" s="311">
        <f t="shared" si="5"/>
        <v>0.84697732997481112</v>
      </c>
      <c r="N279">
        <v>243</v>
      </c>
      <c r="O279" s="311">
        <f t="shared" si="4"/>
        <v>0.15302267002518891</v>
      </c>
    </row>
    <row r="280" spans="6:15" x14ac:dyDescent="0.2">
      <c r="F280" s="185" t="s">
        <v>555</v>
      </c>
      <c r="H280" s="185" t="s">
        <v>672</v>
      </c>
      <c r="I280" t="s">
        <v>874</v>
      </c>
      <c r="K280">
        <v>1795</v>
      </c>
      <c r="L280">
        <v>1643</v>
      </c>
      <c r="M280" s="311">
        <f t="shared" si="5"/>
        <v>0.91532033426183845</v>
      </c>
      <c r="N280">
        <v>152</v>
      </c>
      <c r="O280" s="311">
        <f t="shared" si="4"/>
        <v>8.4679665738161561E-2</v>
      </c>
    </row>
    <row r="281" spans="6:15" x14ac:dyDescent="0.2">
      <c r="F281" s="185" t="s">
        <v>539</v>
      </c>
      <c r="H281" s="185" t="s">
        <v>656</v>
      </c>
      <c r="I281" t="s">
        <v>890</v>
      </c>
      <c r="K281">
        <v>1201</v>
      </c>
      <c r="L281">
        <v>1043</v>
      </c>
      <c r="M281" s="311">
        <f t="shared" si="5"/>
        <v>0.86844296419650291</v>
      </c>
      <c r="N281">
        <v>158</v>
      </c>
      <c r="O281" s="311">
        <f t="shared" si="4"/>
        <v>0.13155703580349709</v>
      </c>
    </row>
    <row r="282" spans="6:15" x14ac:dyDescent="0.2">
      <c r="F282" s="185" t="s">
        <v>562</v>
      </c>
      <c r="H282" s="185" t="s">
        <v>679</v>
      </c>
      <c r="I282" t="s">
        <v>906</v>
      </c>
      <c r="K282">
        <v>3981</v>
      </c>
      <c r="L282">
        <v>3624</v>
      </c>
      <c r="M282" s="311">
        <f t="shared" si="5"/>
        <v>0.91032403918613414</v>
      </c>
      <c r="N282">
        <v>357</v>
      </c>
      <c r="O282" s="311">
        <f t="shared" si="4"/>
        <v>8.9675960813865863E-2</v>
      </c>
    </row>
    <row r="283" spans="6:15" x14ac:dyDescent="0.2">
      <c r="F283" s="185" t="s">
        <v>567</v>
      </c>
      <c r="H283" s="185" t="s">
        <v>685</v>
      </c>
      <c r="I283" t="s">
        <v>892</v>
      </c>
      <c r="K283">
        <v>5364</v>
      </c>
      <c r="L283">
        <v>5158</v>
      </c>
      <c r="M283" s="311">
        <f t="shared" si="5"/>
        <v>0.96159582401193144</v>
      </c>
      <c r="N283">
        <v>206</v>
      </c>
      <c r="O283" s="311">
        <f t="shared" si="4"/>
        <v>3.8404175988068605E-2</v>
      </c>
    </row>
    <row r="284" spans="6:15" x14ac:dyDescent="0.2">
      <c r="F284" s="185" t="s">
        <v>568</v>
      </c>
      <c r="H284" s="185" t="s">
        <v>686</v>
      </c>
      <c r="I284" t="s">
        <v>892</v>
      </c>
      <c r="K284">
        <v>5364</v>
      </c>
      <c r="L284">
        <v>5158</v>
      </c>
      <c r="M284" s="311">
        <f t="shared" si="5"/>
        <v>0.96159582401193144</v>
      </c>
      <c r="N284">
        <v>206</v>
      </c>
      <c r="O284" s="311">
        <f t="shared" ref="O284:O292" si="6">N284/K284</f>
        <v>3.8404175988068605E-2</v>
      </c>
    </row>
    <row r="285" spans="6:15" x14ac:dyDescent="0.2">
      <c r="F285" s="185" t="s">
        <v>522</v>
      </c>
      <c r="H285" s="185" t="s">
        <v>631</v>
      </c>
      <c r="I285" t="s">
        <v>886</v>
      </c>
      <c r="K285">
        <v>714</v>
      </c>
      <c r="L285">
        <v>684</v>
      </c>
      <c r="M285" s="311">
        <f t="shared" si="5"/>
        <v>0.95798319327731096</v>
      </c>
      <c r="N285">
        <v>30</v>
      </c>
      <c r="O285" s="311">
        <f t="shared" si="6"/>
        <v>4.2016806722689079E-2</v>
      </c>
    </row>
    <row r="286" spans="6:15" x14ac:dyDescent="0.2">
      <c r="F286" s="185" t="s">
        <v>503</v>
      </c>
      <c r="H286" s="185" t="s">
        <v>593</v>
      </c>
      <c r="I286" s="185" t="s">
        <v>503</v>
      </c>
      <c r="K286">
        <v>18220</v>
      </c>
      <c r="L286">
        <v>16392</v>
      </c>
      <c r="M286" s="311">
        <f t="shared" si="5"/>
        <v>0.8996706915477497</v>
      </c>
      <c r="N286">
        <v>1828</v>
      </c>
      <c r="O286" s="311">
        <f t="shared" si="6"/>
        <v>0.10032930845225027</v>
      </c>
    </row>
    <row r="287" spans="6:15" x14ac:dyDescent="0.2">
      <c r="F287" s="185" t="s">
        <v>556</v>
      </c>
      <c r="H287" s="185" t="s">
        <v>673</v>
      </c>
      <c r="I287" s="185" t="s">
        <v>556</v>
      </c>
      <c r="K287">
        <v>56136</v>
      </c>
      <c r="L287">
        <v>54088</v>
      </c>
      <c r="M287" s="311">
        <f t="shared" si="5"/>
        <v>0.96351717258087499</v>
      </c>
      <c r="N287">
        <v>2048</v>
      </c>
      <c r="O287" s="311">
        <f t="shared" si="6"/>
        <v>3.648282741912498E-2</v>
      </c>
    </row>
    <row r="288" spans="6:15" x14ac:dyDescent="0.2">
      <c r="F288" s="185" t="s">
        <v>490</v>
      </c>
      <c r="H288" s="185" t="s">
        <v>580</v>
      </c>
      <c r="I288" t="s">
        <v>898</v>
      </c>
      <c r="K288">
        <v>3485</v>
      </c>
      <c r="L288">
        <v>3264</v>
      </c>
      <c r="M288" s="311">
        <f t="shared" si="5"/>
        <v>0.93658536585365859</v>
      </c>
      <c r="N288">
        <v>221</v>
      </c>
      <c r="O288" s="311">
        <f t="shared" si="6"/>
        <v>6.3414634146341464E-2</v>
      </c>
    </row>
    <row r="289" spans="6:15" x14ac:dyDescent="0.2">
      <c r="F289" s="185" t="s">
        <v>523</v>
      </c>
      <c r="H289" s="185" t="s">
        <v>632</v>
      </c>
      <c r="I289" s="185" t="s">
        <v>523</v>
      </c>
      <c r="K289">
        <v>55196</v>
      </c>
      <c r="L289">
        <v>53625</v>
      </c>
      <c r="M289" s="311">
        <f t="shared" si="5"/>
        <v>0.97153779259366624</v>
      </c>
      <c r="N289">
        <v>1571</v>
      </c>
      <c r="O289" s="311">
        <f t="shared" si="6"/>
        <v>2.8462207406333793E-2</v>
      </c>
    </row>
    <row r="290" spans="6:15" x14ac:dyDescent="0.2">
      <c r="F290" s="185" t="s">
        <v>575</v>
      </c>
      <c r="H290" s="185" t="s">
        <v>695</v>
      </c>
      <c r="I290" t="s">
        <v>896</v>
      </c>
      <c r="K290">
        <v>6923</v>
      </c>
      <c r="L290">
        <v>6274</v>
      </c>
      <c r="M290" s="311">
        <f t="shared" si="5"/>
        <v>0.90625451393904377</v>
      </c>
      <c r="N290">
        <v>649</v>
      </c>
      <c r="O290" s="311">
        <f t="shared" si="6"/>
        <v>9.3745486060956229E-2</v>
      </c>
    </row>
    <row r="291" spans="6:15" x14ac:dyDescent="0.2">
      <c r="F291" s="185" t="s">
        <v>603</v>
      </c>
      <c r="H291" s="185" t="s">
        <v>602</v>
      </c>
      <c r="I291" t="s">
        <v>877</v>
      </c>
      <c r="K291">
        <v>1092</v>
      </c>
      <c r="L291">
        <v>813</v>
      </c>
      <c r="M291" s="311">
        <f t="shared" si="5"/>
        <v>0.74450549450549453</v>
      </c>
      <c r="N291">
        <v>279</v>
      </c>
      <c r="O291" s="311">
        <f t="shared" si="6"/>
        <v>0.25549450549450547</v>
      </c>
    </row>
    <row r="292" spans="6:15" x14ac:dyDescent="0.2">
      <c r="F292" s="185" t="s">
        <v>609</v>
      </c>
      <c r="H292" s="185" t="s">
        <v>608</v>
      </c>
      <c r="I292" t="s">
        <v>609</v>
      </c>
      <c r="K292">
        <v>876</v>
      </c>
      <c r="L292">
        <v>730</v>
      </c>
      <c r="M292" s="311">
        <f t="shared" si="5"/>
        <v>0.83333333333333337</v>
      </c>
      <c r="N292">
        <v>146</v>
      </c>
      <c r="O292" s="311">
        <f t="shared" si="6"/>
        <v>0.16666666666666666</v>
      </c>
    </row>
  </sheetData>
  <customSheetViews>
    <customSheetView guid="{78BD55B1-68EB-420C-90D4-21A42E09A787}" scale="85" state="hidden" topLeftCell="Y1">
      <selection activeCell="AB19" sqref="AB19"/>
      <pageMargins left="0.7" right="0.7" top="0.75" bottom="0.75" header="0.3" footer="0.3"/>
      <pageSetup paperSize="9" orientation="portrait" horizontalDpi="4294967295" verticalDpi="4294967295" r:id="rId1"/>
    </customSheetView>
    <customSheetView guid="{61D25FAA-9885-4686-B739-70FDA39A07A1}" scale="85" state="hidden" topLeftCell="Y1">
      <selection activeCell="AB19" sqref="AB19"/>
      <pageMargins left="0.7" right="0.7" top="0.75" bottom="0.75" header="0.3" footer="0.3"/>
      <pageSetup paperSize="9" orientation="portrait" horizontalDpi="4294967295" verticalDpi="4294967295" r:id="rId2"/>
    </customSheetView>
  </customSheetViews>
  <mergeCells count="4">
    <mergeCell ref="AM2:AU2"/>
    <mergeCell ref="L2:AB2"/>
    <mergeCell ref="A2:I2"/>
    <mergeCell ref="AD2:AJ2"/>
  </mergeCells>
  <dataValidations count="2">
    <dataValidation allowBlank="1" showInputMessage="1" sqref="A3:B3 L3:N3 X3:Y3 AD3:AG3 AI3:AJ3"/>
    <dataValidation type="list" allowBlank="1" showInputMessage="1" showErrorMessage="1" sqref="L4">
      <formula1>DropActividades</formula1>
    </dataValidation>
  </dataValidations>
  <pageMargins left="0.7" right="0.7" top="0.75" bottom="0.75" header="0.3" footer="0.3"/>
  <pageSetup paperSize="9" orientation="portrait" horizontalDpi="4294967295" verticalDpi="4294967295"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19"/>
  <sheetViews>
    <sheetView view="pageBreakPreview" zoomScaleNormal="100" zoomScaleSheetLayoutView="100" workbookViewId="0">
      <selection activeCell="B6" sqref="B6:I15"/>
    </sheetView>
  </sheetViews>
  <sheetFormatPr baseColWidth="10" defaultColWidth="11.42578125" defaultRowHeight="12.75" x14ac:dyDescent="0.2"/>
  <cols>
    <col min="1" max="1" width="11.42578125" style="539"/>
    <col min="2" max="3" width="14" style="539" customWidth="1"/>
    <col min="4" max="4" width="9.85546875" style="539" customWidth="1"/>
    <col min="5" max="5" width="11.28515625" style="539" customWidth="1"/>
    <col min="6" max="10" width="14" style="539" customWidth="1"/>
    <col min="11" max="11" width="21.28515625" style="539" customWidth="1"/>
    <col min="12" max="12" width="8.7109375" style="539" customWidth="1"/>
    <col min="13" max="18" width="8.85546875" style="539" customWidth="1"/>
    <col min="19" max="19" width="15.42578125" style="539" customWidth="1"/>
    <col min="20" max="16384" width="11.42578125" style="539"/>
  </cols>
  <sheetData>
    <row r="2" spans="2:19" x14ac:dyDescent="0.2">
      <c r="S2" s="539" t="s">
        <v>1144</v>
      </c>
    </row>
    <row r="5" spans="2:19" ht="13.5" thickBot="1" x14ac:dyDescent="0.25"/>
    <row r="6" spans="2:19" ht="15.75" thickBot="1" x14ac:dyDescent="0.3">
      <c r="B6" s="540"/>
      <c r="C6" s="810" t="s">
        <v>1104</v>
      </c>
      <c r="D6" s="810"/>
      <c r="E6" s="541" t="s">
        <v>1105</v>
      </c>
      <c r="F6" s="541" t="s">
        <v>1106</v>
      </c>
      <c r="G6" s="811" t="s">
        <v>1107</v>
      </c>
      <c r="H6" s="811"/>
      <c r="I6" s="811"/>
      <c r="K6" s="542" t="s">
        <v>1120</v>
      </c>
      <c r="L6" s="543" t="s">
        <v>1119</v>
      </c>
      <c r="M6" s="807" t="s">
        <v>1121</v>
      </c>
      <c r="N6" s="808"/>
      <c r="O6" s="808"/>
      <c r="P6" s="808"/>
      <c r="Q6" s="808"/>
      <c r="R6" s="809"/>
      <c r="S6" s="544" t="s">
        <v>1122</v>
      </c>
    </row>
    <row r="7" spans="2:19" x14ac:dyDescent="0.2">
      <c r="B7" s="545" t="s">
        <v>1108</v>
      </c>
      <c r="C7" s="812" t="str">
        <f>'MODELO DE PRESUPUESTO'!D302</f>
        <v>Ing. Liliana Vélez Mendoza</v>
      </c>
      <c r="D7" s="812"/>
      <c r="E7" s="546">
        <f>'CARATULA-DATOS'!B4</f>
        <v>43025</v>
      </c>
      <c r="F7" s="540"/>
      <c r="G7" s="811"/>
      <c r="H7" s="811"/>
      <c r="I7" s="811"/>
      <c r="K7" s="547" t="s">
        <v>1114</v>
      </c>
      <c r="L7" s="548">
        <f>'CARATULA-DATOS'!A23+'CARATULA-DATOS'!B23</f>
        <v>339</v>
      </c>
      <c r="M7" s="549">
        <f>'CARATULA-DATOS'!A23</f>
        <v>300</v>
      </c>
      <c r="N7" s="550">
        <f>'CARATULA-DATOS'!B23</f>
        <v>39</v>
      </c>
      <c r="O7" s="551"/>
      <c r="P7" s="551"/>
      <c r="Q7" s="551"/>
      <c r="R7" s="552"/>
      <c r="S7" s="553" t="s">
        <v>1123</v>
      </c>
    </row>
    <row r="8" spans="2:19" x14ac:dyDescent="0.2">
      <c r="B8" s="545" t="s">
        <v>1109</v>
      </c>
      <c r="C8" s="812" t="str">
        <f>'MODELO DE PRESUPUESTO'!D303</f>
        <v>Ing. Edwin Garcia</v>
      </c>
      <c r="D8" s="812"/>
      <c r="E8" s="546">
        <f>'CARATULA-DATOS'!B4</f>
        <v>43025</v>
      </c>
      <c r="F8" s="540"/>
      <c r="G8" s="811"/>
      <c r="H8" s="811"/>
      <c r="I8" s="811"/>
      <c r="K8" s="554" t="s">
        <v>125</v>
      </c>
      <c r="L8" s="555">
        <f>'MODELO DE PRESUPUESTO'!F47+'MODELO DE PRESUPUESTO'!F48</f>
        <v>96</v>
      </c>
      <c r="M8" s="804">
        <f>'MODELO DE PRESUPUESTO'!F47</f>
        <v>0</v>
      </c>
      <c r="N8" s="805"/>
      <c r="O8" s="806">
        <f>'MODELO DE PRESUPUESTO'!F48</f>
        <v>96</v>
      </c>
      <c r="P8" s="806"/>
      <c r="Q8" s="556"/>
      <c r="R8" s="557"/>
      <c r="S8" s="558" t="s">
        <v>1124</v>
      </c>
    </row>
    <row r="9" spans="2:19" x14ac:dyDescent="0.2">
      <c r="B9" s="545" t="s">
        <v>1110</v>
      </c>
      <c r="C9" s="813" t="s">
        <v>1103</v>
      </c>
      <c r="D9" s="813"/>
      <c r="E9" s="540"/>
      <c r="F9" s="540"/>
      <c r="G9" s="811"/>
      <c r="H9" s="811"/>
      <c r="I9" s="811"/>
      <c r="K9" s="554" t="s">
        <v>75</v>
      </c>
      <c r="L9" s="555">
        <f>'MODELO DE PRESUPUESTO'!F20+'MODELO DE PRESUPUESTO'!F21+'MODELO DE PRESUPUESTO'!F22+'MODELO DE PRESUPUESTO'!F23+'MODELO DE PRESUPUESTO'!F24+'MODELO DE PRESUPUESTO'!F25+'MODELO DE PRESUPUESTO'!F26+'MODELO DE PRESUPUESTO'!F27+'MODELO DE PRESUPUESTO'!F28+'MODELO DE PRESUPUESTO'!F29+'MODELO DE PRESUPUESTO'!F30</f>
        <v>83</v>
      </c>
      <c r="M9" s="559">
        <f>'MODELO DE PRESUPUESTO'!F20+'MODELO DE PRESUPUESTO'!F21+'MODELO DE PRESUPUESTO'!F27+'MODELO DE PRESUPUESTO'!F28</f>
        <v>50</v>
      </c>
      <c r="N9" s="560">
        <f>'MODELO DE PRESUPUESTO'!F22+'MODELO DE PRESUPUESTO'!F23+'MODELO DE PRESUPUESTO'!F29+'MODELO DE PRESUPUESTO'!F30</f>
        <v>33</v>
      </c>
      <c r="O9" s="561">
        <f>'MODELO DE PRESUPUESTO'!F24+'MODELO DE PRESUPUESTO'!F25+'MODELO DE PRESUPUESTO'!F26</f>
        <v>0</v>
      </c>
      <c r="P9" s="562"/>
      <c r="Q9" s="562"/>
      <c r="R9" s="563"/>
      <c r="S9" s="558"/>
    </row>
    <row r="10" spans="2:19" ht="12.75" customHeight="1" x14ac:dyDescent="0.2">
      <c r="B10" s="814" t="s">
        <v>1111</v>
      </c>
      <c r="C10" s="814"/>
      <c r="D10" s="814"/>
      <c r="E10" s="814"/>
      <c r="F10" s="814"/>
      <c r="G10" s="815" t="s">
        <v>785</v>
      </c>
      <c r="H10" s="815"/>
      <c r="I10" s="815"/>
      <c r="K10" s="554" t="s">
        <v>1115</v>
      </c>
      <c r="L10" s="555">
        <f>'MODELO DE PRESUPUESTO'!F43</f>
        <v>1</v>
      </c>
      <c r="M10" s="564"/>
      <c r="N10" s="565"/>
      <c r="O10" s="565"/>
      <c r="P10" s="565"/>
      <c r="Q10" s="565"/>
      <c r="R10" s="566"/>
      <c r="S10" s="558" t="s">
        <v>1125</v>
      </c>
    </row>
    <row r="11" spans="2:19" ht="12.75" customHeight="1" x14ac:dyDescent="0.2">
      <c r="B11" s="816" t="str">
        <f>'CARATULA-DATOS'!B5</f>
        <v>REPOTENCIACIÓN Y MODERNIZACIÓN DE LAS REDES DE DISTRIBUCIÓN PRIMARIA Y SECUNDARIA DE LA CIUDADELA SANTA FE, DEL CANTÓN CHONE, CON EL REMPLAZO DE REDES AÉREAS DENUDAS DE BAJO VOLTAJE, POR REDES PREENSAMBLADAS.</v>
      </c>
      <c r="C11" s="816"/>
      <c r="D11" s="816"/>
      <c r="E11" s="816"/>
      <c r="F11" s="816"/>
      <c r="G11" s="815"/>
      <c r="H11" s="815"/>
      <c r="I11" s="815"/>
      <c r="K11" s="554" t="s">
        <v>1116</v>
      </c>
      <c r="L11" s="555">
        <f>'MODELO DE PRESUPUESTO'!F35+'MODELO DE PRESUPUESTO'!F36+'MODELO DE PRESUPUESTO'!F37+'MODELO DE PRESUPUESTO'!F38+'MODELO DE PRESUPUESTO'!F39+'MODELO DE PRESUPUESTO'!F40</f>
        <v>18</v>
      </c>
      <c r="M11" s="567">
        <f>'MODELO DE PRESUPUESTO'!F35</f>
        <v>0</v>
      </c>
      <c r="N11" s="568">
        <f>'MODELO DE PRESUPUESTO'!F36</f>
        <v>0</v>
      </c>
      <c r="O11" s="569">
        <f>'MODELO DE PRESUPUESTO'!F37</f>
        <v>0</v>
      </c>
      <c r="P11" s="570">
        <f>'MODELO DE PRESUPUESTO'!F38</f>
        <v>0</v>
      </c>
      <c r="Q11" s="571">
        <f>'MODELO DE PRESUPUESTO'!F39</f>
        <v>10</v>
      </c>
      <c r="R11" s="572">
        <f>'MODELO DE PRESUPUESTO'!F40</f>
        <v>8</v>
      </c>
      <c r="S11" s="558" t="s">
        <v>1126</v>
      </c>
    </row>
    <row r="12" spans="2:19" x14ac:dyDescent="0.2">
      <c r="B12" s="816"/>
      <c r="C12" s="816"/>
      <c r="D12" s="816"/>
      <c r="E12" s="816"/>
      <c r="F12" s="816"/>
      <c r="G12" s="815"/>
      <c r="H12" s="815"/>
      <c r="I12" s="815"/>
      <c r="K12" s="554" t="s">
        <v>110</v>
      </c>
      <c r="L12" s="555">
        <f>'MODELO DE PRESUPUESTO'!F184+'MODELO DE PRESUPUESTO'!F185+'MODELO DE PRESUPUESTO'!F186+'MODELO DE PRESUPUESTO'!F187+'MODELO DE PRESUPUESTO'!F188</f>
        <v>37</v>
      </c>
      <c r="M12" s="573">
        <f>'MODELO DE PRESUPUESTO'!F184</f>
        <v>1</v>
      </c>
      <c r="N12" s="574">
        <f>'MODELO DE PRESUPUESTO'!F185</f>
        <v>7</v>
      </c>
      <c r="O12" s="575">
        <f>'MODELO DE PRESUPUESTO'!F186</f>
        <v>29</v>
      </c>
      <c r="P12" s="576">
        <f>'MODELO DE PRESUPUESTO'!F187</f>
        <v>0</v>
      </c>
      <c r="Q12" s="577">
        <f>'MODELO DE PRESUPUESTO'!F188</f>
        <v>0</v>
      </c>
      <c r="R12" s="578"/>
      <c r="S12" s="558"/>
    </row>
    <row r="13" spans="2:19" x14ac:dyDescent="0.2">
      <c r="B13" s="816"/>
      <c r="C13" s="816"/>
      <c r="D13" s="816"/>
      <c r="E13" s="816"/>
      <c r="F13" s="816"/>
      <c r="G13" s="818" t="s">
        <v>1145</v>
      </c>
      <c r="H13" s="818"/>
      <c r="I13" s="818"/>
      <c r="K13" s="554" t="s">
        <v>1117</v>
      </c>
      <c r="L13" s="555">
        <f>'CARATULA-DATOS'!B20</f>
        <v>2589</v>
      </c>
      <c r="M13" s="579"/>
      <c r="N13" s="556"/>
      <c r="O13" s="556"/>
      <c r="P13" s="556"/>
      <c r="Q13" s="556"/>
      <c r="R13" s="557"/>
      <c r="S13" s="558" t="s">
        <v>1127</v>
      </c>
    </row>
    <row r="14" spans="2:19" x14ac:dyDescent="0.2">
      <c r="B14" s="816"/>
      <c r="C14" s="816"/>
      <c r="D14" s="816"/>
      <c r="E14" s="816"/>
      <c r="F14" s="817"/>
      <c r="G14" s="819" t="s">
        <v>1112</v>
      </c>
      <c r="H14" s="820"/>
      <c r="I14" s="821"/>
      <c r="K14" s="554" t="s">
        <v>1118</v>
      </c>
      <c r="L14" s="555">
        <f>'CARATULA-DATOS'!A20</f>
        <v>1296</v>
      </c>
      <c r="M14" s="579"/>
      <c r="N14" s="556"/>
      <c r="O14" s="556"/>
      <c r="P14" s="556"/>
      <c r="Q14" s="556"/>
      <c r="R14" s="557"/>
      <c r="S14" s="558" t="s">
        <v>1128</v>
      </c>
    </row>
    <row r="15" spans="2:19" ht="13.5" thickBot="1" x14ac:dyDescent="0.25">
      <c r="B15" s="816"/>
      <c r="C15" s="816"/>
      <c r="D15" s="816"/>
      <c r="E15" s="816"/>
      <c r="F15" s="817"/>
      <c r="G15" s="822" t="s">
        <v>1139</v>
      </c>
      <c r="H15" s="823"/>
      <c r="I15" s="824"/>
      <c r="K15" s="580" t="s">
        <v>192</v>
      </c>
      <c r="L15" s="581">
        <f>'MODELO DE PRESUPUESTO'!F140/1000</f>
        <v>3.39</v>
      </c>
      <c r="M15" s="582"/>
      <c r="N15" s="583"/>
      <c r="O15" s="583"/>
      <c r="P15" s="583"/>
      <c r="Q15" s="583"/>
      <c r="R15" s="584"/>
      <c r="S15" s="585" t="s">
        <v>1127</v>
      </c>
    </row>
    <row r="21" spans="10:11" x14ac:dyDescent="0.2">
      <c r="J21" s="539">
        <v>63919.67</v>
      </c>
      <c r="K21" s="539">
        <f>J21*0.12</f>
        <v>7670.3603999999996</v>
      </c>
    </row>
    <row r="22" spans="10:11" x14ac:dyDescent="0.2">
      <c r="J22" s="539">
        <v>33499.980000000003</v>
      </c>
      <c r="K22" s="539">
        <f>J22*0.12</f>
        <v>4019.9976000000001</v>
      </c>
    </row>
    <row r="23" spans="10:11" x14ac:dyDescent="0.2">
      <c r="K23" s="539">
        <f>SUM(K21:K22)</f>
        <v>11690.358</v>
      </c>
    </row>
    <row r="114" spans="6:20" s="587" customFormat="1" ht="47.25" x14ac:dyDescent="0.2">
      <c r="F114" s="586" t="s">
        <v>576</v>
      </c>
      <c r="G114" s="586"/>
      <c r="H114" s="586" t="s">
        <v>447</v>
      </c>
      <c r="I114" s="586" t="s">
        <v>576</v>
      </c>
      <c r="J114" s="586"/>
      <c r="K114" s="586" t="s">
        <v>908</v>
      </c>
      <c r="L114" s="586" t="s">
        <v>870</v>
      </c>
      <c r="M114" s="586" t="s">
        <v>909</v>
      </c>
      <c r="N114" s="586" t="s">
        <v>871</v>
      </c>
      <c r="O114" s="586" t="s">
        <v>910</v>
      </c>
      <c r="T114" s="588"/>
    </row>
    <row r="115" spans="6:20" x14ac:dyDescent="0.2">
      <c r="F115" s="589" t="s">
        <v>647</v>
      </c>
      <c r="H115" s="589" t="s">
        <v>646</v>
      </c>
      <c r="I115" s="539" t="s">
        <v>647</v>
      </c>
      <c r="K115" s="539">
        <v>1127</v>
      </c>
      <c r="L115" s="539">
        <v>744</v>
      </c>
      <c r="M115" s="590">
        <f>L115/K115</f>
        <v>0.66015971606033719</v>
      </c>
      <c r="N115" s="539">
        <v>383</v>
      </c>
      <c r="O115" s="590">
        <f>N115/K115</f>
        <v>0.33984028393966281</v>
      </c>
      <c r="T115" s="591"/>
    </row>
    <row r="116" spans="6:20" x14ac:dyDescent="0.2">
      <c r="F116" s="589" t="s">
        <v>540</v>
      </c>
      <c r="H116" s="589" t="s">
        <v>657</v>
      </c>
      <c r="I116" s="589" t="s">
        <v>540</v>
      </c>
      <c r="K116" s="539">
        <v>56136</v>
      </c>
      <c r="L116" s="539">
        <v>52993</v>
      </c>
      <c r="M116" s="590">
        <f t="shared" ref="M116:M179" si="0">L116/K116</f>
        <v>0.94401097335043471</v>
      </c>
      <c r="N116" s="539">
        <v>3143</v>
      </c>
      <c r="O116" s="590">
        <f t="shared" ref="O116:O179" si="1">N116/K116</f>
        <v>5.5989026649565343E-2</v>
      </c>
      <c r="T116" s="591"/>
    </row>
    <row r="117" spans="6:20" x14ac:dyDescent="0.2">
      <c r="F117" s="589" t="s">
        <v>541</v>
      </c>
      <c r="H117" s="589" t="s">
        <v>658</v>
      </c>
      <c r="I117" s="589" t="s">
        <v>541</v>
      </c>
      <c r="K117" s="539">
        <v>56136</v>
      </c>
      <c r="L117" s="539">
        <v>52993</v>
      </c>
      <c r="M117" s="590">
        <f t="shared" si="0"/>
        <v>0.94401097335043471</v>
      </c>
      <c r="N117" s="539">
        <v>3143</v>
      </c>
      <c r="O117" s="590">
        <f t="shared" si="1"/>
        <v>5.5989026649565343E-2</v>
      </c>
      <c r="T117" s="591"/>
    </row>
    <row r="118" spans="6:20" s="593" customFormat="1" x14ac:dyDescent="0.2">
      <c r="F118" s="592" t="s">
        <v>595</v>
      </c>
      <c r="H118" s="592" t="s">
        <v>594</v>
      </c>
      <c r="I118" s="592" t="s">
        <v>595</v>
      </c>
      <c r="K118" s="539">
        <v>18450</v>
      </c>
      <c r="L118" s="539">
        <v>16528</v>
      </c>
      <c r="M118" s="590">
        <f t="shared" si="0"/>
        <v>0.89582655826558266</v>
      </c>
      <c r="N118" s="539">
        <v>1922</v>
      </c>
      <c r="O118" s="590">
        <f t="shared" si="1"/>
        <v>0.10417344173441734</v>
      </c>
      <c r="T118" s="591"/>
    </row>
    <row r="119" spans="6:20" x14ac:dyDescent="0.2">
      <c r="F119" s="589" t="s">
        <v>542</v>
      </c>
      <c r="H119" s="589" t="s">
        <v>659</v>
      </c>
      <c r="I119" s="539" t="s">
        <v>872</v>
      </c>
      <c r="K119" s="539">
        <v>3520</v>
      </c>
      <c r="L119" s="539">
        <v>3345</v>
      </c>
      <c r="M119" s="590">
        <f t="shared" si="0"/>
        <v>0.95028409090909094</v>
      </c>
      <c r="N119" s="539">
        <v>175</v>
      </c>
      <c r="O119" s="590">
        <f t="shared" si="1"/>
        <v>4.9715909090909088E-2</v>
      </c>
      <c r="T119" s="591"/>
    </row>
    <row r="120" spans="6:20" x14ac:dyDescent="0.2">
      <c r="F120" s="589" t="s">
        <v>543</v>
      </c>
      <c r="H120" s="589" t="s">
        <v>660</v>
      </c>
      <c r="I120" s="539" t="s">
        <v>543</v>
      </c>
      <c r="K120" s="539">
        <v>973</v>
      </c>
      <c r="L120" s="539">
        <v>889</v>
      </c>
      <c r="M120" s="590">
        <f t="shared" si="0"/>
        <v>0.91366906474820142</v>
      </c>
      <c r="N120" s="539">
        <v>84</v>
      </c>
      <c r="O120" s="590">
        <f t="shared" si="1"/>
        <v>8.6330935251798566E-2</v>
      </c>
      <c r="T120" s="591"/>
    </row>
    <row r="121" spans="6:20" x14ac:dyDescent="0.2">
      <c r="F121" s="589" t="s">
        <v>505</v>
      </c>
      <c r="H121" s="589" t="s">
        <v>613</v>
      </c>
      <c r="I121" s="539" t="s">
        <v>881</v>
      </c>
      <c r="K121" s="539">
        <v>977</v>
      </c>
      <c r="L121" s="539">
        <v>781</v>
      </c>
      <c r="M121" s="590">
        <f t="shared" si="0"/>
        <v>0.79938587512794268</v>
      </c>
      <c r="N121" s="539">
        <v>196</v>
      </c>
      <c r="O121" s="590">
        <f t="shared" si="1"/>
        <v>0.20061412487205732</v>
      </c>
      <c r="T121" s="591"/>
    </row>
    <row r="122" spans="6:20" x14ac:dyDescent="0.2">
      <c r="F122" s="589" t="s">
        <v>544</v>
      </c>
      <c r="H122" s="589" t="s">
        <v>661</v>
      </c>
      <c r="I122" s="589" t="s">
        <v>544</v>
      </c>
      <c r="K122" s="539">
        <v>56136</v>
      </c>
      <c r="L122" s="539">
        <v>52993</v>
      </c>
      <c r="M122" s="590">
        <f t="shared" si="0"/>
        <v>0.94401097335043471</v>
      </c>
      <c r="N122" s="539">
        <v>3143</v>
      </c>
      <c r="O122" s="590">
        <f t="shared" si="1"/>
        <v>5.5989026649565343E-2</v>
      </c>
      <c r="T122" s="591"/>
    </row>
    <row r="123" spans="6:20" x14ac:dyDescent="0.2">
      <c r="F123" s="589" t="s">
        <v>573</v>
      </c>
      <c r="H123" s="589" t="s">
        <v>693</v>
      </c>
      <c r="I123" s="539" t="s">
        <v>897</v>
      </c>
      <c r="K123" s="539">
        <v>1588</v>
      </c>
      <c r="L123" s="539">
        <v>1400</v>
      </c>
      <c r="M123" s="590">
        <f t="shared" si="0"/>
        <v>0.88161209068010071</v>
      </c>
      <c r="N123" s="539">
        <v>188</v>
      </c>
      <c r="O123" s="590">
        <f t="shared" si="1"/>
        <v>0.11838790931989925</v>
      </c>
      <c r="T123" s="591"/>
    </row>
    <row r="124" spans="6:20" x14ac:dyDescent="0.2">
      <c r="F124" s="589" t="s">
        <v>524</v>
      </c>
      <c r="H124" s="589" t="s">
        <v>633</v>
      </c>
      <c r="I124" s="589" t="s">
        <v>524</v>
      </c>
      <c r="K124" s="539">
        <v>17095</v>
      </c>
      <c r="L124" s="539">
        <v>15457</v>
      </c>
      <c r="M124" s="590">
        <f t="shared" si="0"/>
        <v>0.90418250950570345</v>
      </c>
      <c r="N124" s="539">
        <v>1638</v>
      </c>
      <c r="O124" s="590">
        <f t="shared" si="1"/>
        <v>9.5817490494296581E-2</v>
      </c>
      <c r="T124" s="591"/>
    </row>
    <row r="125" spans="6:20" x14ac:dyDescent="0.2">
      <c r="F125" s="589" t="s">
        <v>487</v>
      </c>
      <c r="H125" s="589" t="s">
        <v>577</v>
      </c>
      <c r="I125" s="539" t="s">
        <v>899</v>
      </c>
      <c r="K125" s="539">
        <v>987</v>
      </c>
      <c r="L125" s="539">
        <v>918</v>
      </c>
      <c r="M125" s="590">
        <f t="shared" si="0"/>
        <v>0.93009118541033431</v>
      </c>
      <c r="N125" s="539">
        <v>69</v>
      </c>
      <c r="O125" s="590">
        <f t="shared" si="1"/>
        <v>6.9908814589665649E-2</v>
      </c>
      <c r="T125" s="591"/>
    </row>
    <row r="126" spans="6:20" x14ac:dyDescent="0.2">
      <c r="F126" s="589" t="s">
        <v>649</v>
      </c>
      <c r="H126" s="589" t="s">
        <v>648</v>
      </c>
      <c r="I126" s="539" t="s">
        <v>649</v>
      </c>
      <c r="K126" s="539">
        <v>542</v>
      </c>
      <c r="L126" s="539">
        <v>369</v>
      </c>
      <c r="M126" s="590">
        <f t="shared" si="0"/>
        <v>0.68081180811808117</v>
      </c>
      <c r="N126" s="539">
        <v>173</v>
      </c>
      <c r="O126" s="590">
        <f t="shared" si="1"/>
        <v>0.31918819188191883</v>
      </c>
      <c r="T126" s="591"/>
    </row>
    <row r="127" spans="6:20" x14ac:dyDescent="0.2">
      <c r="F127" s="589" t="s">
        <v>563</v>
      </c>
      <c r="H127" s="589" t="s">
        <v>680</v>
      </c>
      <c r="I127" s="539" t="s">
        <v>563</v>
      </c>
      <c r="K127" s="539">
        <v>1920</v>
      </c>
      <c r="L127" s="539">
        <v>1844</v>
      </c>
      <c r="M127" s="590">
        <f t="shared" si="0"/>
        <v>0.9604166666666667</v>
      </c>
      <c r="N127" s="539">
        <v>76</v>
      </c>
      <c r="O127" s="590">
        <f t="shared" si="1"/>
        <v>3.9583333333333331E-2</v>
      </c>
      <c r="T127" s="591"/>
    </row>
    <row r="128" spans="6:20" x14ac:dyDescent="0.2">
      <c r="F128" s="589" t="s">
        <v>574</v>
      </c>
      <c r="H128" s="589" t="s">
        <v>694</v>
      </c>
      <c r="I128" s="539" t="s">
        <v>574</v>
      </c>
      <c r="K128" s="539">
        <v>938</v>
      </c>
      <c r="L128" s="539">
        <v>859</v>
      </c>
      <c r="M128" s="590">
        <f t="shared" si="0"/>
        <v>0.91577825159914716</v>
      </c>
      <c r="N128" s="539">
        <v>79</v>
      </c>
      <c r="O128" s="590">
        <f t="shared" si="1"/>
        <v>8.4221748400852878E-2</v>
      </c>
      <c r="T128" s="591"/>
    </row>
    <row r="129" spans="6:20" x14ac:dyDescent="0.2">
      <c r="F129" s="589" t="s">
        <v>688</v>
      </c>
      <c r="H129" s="589" t="s">
        <v>687</v>
      </c>
      <c r="I129" s="539" t="s">
        <v>894</v>
      </c>
      <c r="K129" s="539">
        <v>6767</v>
      </c>
      <c r="L129" s="539">
        <v>6063</v>
      </c>
      <c r="M129" s="590">
        <f t="shared" si="0"/>
        <v>0.89596571597458252</v>
      </c>
      <c r="N129" s="539">
        <v>704</v>
      </c>
      <c r="O129" s="590">
        <f t="shared" si="1"/>
        <v>0.10403428402541746</v>
      </c>
      <c r="T129" s="591"/>
    </row>
    <row r="130" spans="6:20" x14ac:dyDescent="0.2">
      <c r="F130" s="589" t="s">
        <v>569</v>
      </c>
      <c r="H130" s="589" t="s">
        <v>689</v>
      </c>
      <c r="I130" s="539" t="s">
        <v>894</v>
      </c>
      <c r="K130" s="539">
        <v>6767</v>
      </c>
      <c r="L130" s="539">
        <v>6063</v>
      </c>
      <c r="M130" s="590">
        <f t="shared" si="0"/>
        <v>0.89596571597458252</v>
      </c>
      <c r="N130" s="539">
        <v>704</v>
      </c>
      <c r="O130" s="590">
        <f t="shared" si="1"/>
        <v>0.10403428402541746</v>
      </c>
      <c r="T130" s="591"/>
    </row>
    <row r="131" spans="6:20" x14ac:dyDescent="0.2">
      <c r="F131" s="589" t="s">
        <v>537</v>
      </c>
      <c r="H131" s="589" t="s">
        <v>654</v>
      </c>
      <c r="I131" s="539" t="s">
        <v>537</v>
      </c>
      <c r="K131" s="539">
        <v>1692</v>
      </c>
      <c r="L131" s="539">
        <v>592</v>
      </c>
      <c r="M131" s="590">
        <f t="shared" si="0"/>
        <v>0.34988179669030733</v>
      </c>
      <c r="N131" s="539">
        <v>1100</v>
      </c>
      <c r="O131" s="590">
        <f t="shared" si="1"/>
        <v>0.65011820330969272</v>
      </c>
      <c r="T131" s="591"/>
    </row>
    <row r="132" spans="6:20" x14ac:dyDescent="0.2">
      <c r="F132" s="589" t="s">
        <v>488</v>
      </c>
      <c r="H132" s="589" t="s">
        <v>578</v>
      </c>
      <c r="I132" s="539" t="s">
        <v>488</v>
      </c>
      <c r="K132" s="539">
        <v>1266</v>
      </c>
      <c r="L132" s="539">
        <v>1151</v>
      </c>
      <c r="M132" s="590">
        <f t="shared" si="0"/>
        <v>0.9091627172195893</v>
      </c>
      <c r="N132" s="539">
        <v>115</v>
      </c>
      <c r="O132" s="590">
        <f t="shared" si="1"/>
        <v>9.0837282780410741E-2</v>
      </c>
      <c r="T132" s="591"/>
    </row>
    <row r="133" spans="6:20" x14ac:dyDescent="0.2">
      <c r="F133" s="589" t="s">
        <v>494</v>
      </c>
      <c r="H133" s="589" t="s">
        <v>584</v>
      </c>
      <c r="I133" s="539" t="s">
        <v>876</v>
      </c>
      <c r="K133" s="539">
        <v>1115</v>
      </c>
      <c r="L133" s="539">
        <v>932</v>
      </c>
      <c r="M133" s="590">
        <f t="shared" si="0"/>
        <v>0.83587443946188345</v>
      </c>
      <c r="N133" s="539">
        <v>183</v>
      </c>
      <c r="O133" s="590">
        <f t="shared" si="1"/>
        <v>0.16412556053811658</v>
      </c>
      <c r="T133" s="591"/>
    </row>
    <row r="134" spans="6:20" x14ac:dyDescent="0.2">
      <c r="F134" s="589" t="s">
        <v>491</v>
      </c>
      <c r="H134" s="589" t="s">
        <v>581</v>
      </c>
      <c r="I134" s="539" t="s">
        <v>875</v>
      </c>
      <c r="K134" s="539">
        <v>8037</v>
      </c>
      <c r="L134" s="539">
        <v>7314</v>
      </c>
      <c r="M134" s="590">
        <f t="shared" si="0"/>
        <v>0.9100410600970511</v>
      </c>
      <c r="N134" s="539">
        <v>723</v>
      </c>
      <c r="O134" s="590">
        <f t="shared" si="1"/>
        <v>8.9958939902948856E-2</v>
      </c>
      <c r="T134" s="591"/>
    </row>
    <row r="135" spans="6:20" x14ac:dyDescent="0.2">
      <c r="F135" s="589" t="s">
        <v>532</v>
      </c>
      <c r="H135" s="589" t="s">
        <v>641</v>
      </c>
      <c r="I135" s="539" t="s">
        <v>888</v>
      </c>
      <c r="K135" s="539">
        <v>2360</v>
      </c>
      <c r="L135" s="539">
        <v>1875</v>
      </c>
      <c r="M135" s="590">
        <f t="shared" si="0"/>
        <v>0.79449152542372881</v>
      </c>
      <c r="N135" s="539">
        <v>485</v>
      </c>
      <c r="O135" s="590">
        <f t="shared" si="1"/>
        <v>0.20550847457627119</v>
      </c>
      <c r="T135" s="591"/>
    </row>
    <row r="136" spans="6:20" x14ac:dyDescent="0.2">
      <c r="F136" s="589" t="s">
        <v>561</v>
      </c>
      <c r="H136" s="589" t="s">
        <v>678</v>
      </c>
      <c r="I136" s="539" t="s">
        <v>561</v>
      </c>
      <c r="K136" s="539">
        <v>1695</v>
      </c>
      <c r="L136" s="539">
        <v>1426</v>
      </c>
      <c r="M136" s="590">
        <f t="shared" si="0"/>
        <v>0.8412979351032448</v>
      </c>
      <c r="N136" s="539">
        <v>269</v>
      </c>
      <c r="O136" s="590">
        <f t="shared" si="1"/>
        <v>0.15870206489675517</v>
      </c>
      <c r="T136" s="591"/>
    </row>
    <row r="137" spans="6:20" x14ac:dyDescent="0.2">
      <c r="F137" s="589" t="s">
        <v>495</v>
      </c>
      <c r="H137" s="589" t="s">
        <v>585</v>
      </c>
      <c r="I137" s="539" t="s">
        <v>495</v>
      </c>
      <c r="K137" s="539">
        <v>2447</v>
      </c>
      <c r="L137" s="539">
        <v>2209</v>
      </c>
      <c r="M137" s="590">
        <f t="shared" si="0"/>
        <v>0.90273804658765833</v>
      </c>
      <c r="N137" s="539">
        <v>238</v>
      </c>
      <c r="O137" s="590">
        <f t="shared" si="1"/>
        <v>9.7261953412341645E-2</v>
      </c>
      <c r="T137" s="591"/>
    </row>
    <row r="138" spans="6:20" x14ac:dyDescent="0.2">
      <c r="F138" s="589" t="s">
        <v>533</v>
      </c>
      <c r="H138" s="589" t="s">
        <v>642</v>
      </c>
      <c r="I138" s="539" t="s">
        <v>533</v>
      </c>
      <c r="K138" s="539">
        <v>1936</v>
      </c>
      <c r="L138" s="539">
        <v>1488</v>
      </c>
      <c r="M138" s="590">
        <f t="shared" si="0"/>
        <v>0.76859504132231404</v>
      </c>
      <c r="N138" s="539">
        <v>448</v>
      </c>
      <c r="O138" s="590">
        <f t="shared" si="1"/>
        <v>0.23140495867768596</v>
      </c>
      <c r="T138" s="591"/>
    </row>
    <row r="139" spans="6:20" x14ac:dyDescent="0.2">
      <c r="F139" s="589" t="s">
        <v>570</v>
      </c>
      <c r="H139" s="589" t="s">
        <v>690</v>
      </c>
      <c r="I139" s="539" t="s">
        <v>895</v>
      </c>
      <c r="K139" s="539">
        <v>5544</v>
      </c>
      <c r="L139" s="539">
        <v>4997</v>
      </c>
      <c r="M139" s="590">
        <f t="shared" si="0"/>
        <v>0.90133477633477632</v>
      </c>
      <c r="N139" s="539">
        <v>547</v>
      </c>
      <c r="O139" s="590">
        <f t="shared" si="1"/>
        <v>9.8665223665223664E-2</v>
      </c>
      <c r="T139" s="591"/>
    </row>
    <row r="140" spans="6:20" x14ac:dyDescent="0.2">
      <c r="F140" s="589" t="s">
        <v>496</v>
      </c>
      <c r="H140" s="589" t="s">
        <v>586</v>
      </c>
      <c r="I140" s="539" t="s">
        <v>496</v>
      </c>
      <c r="K140" s="539">
        <v>1433</v>
      </c>
      <c r="L140" s="539">
        <v>817</v>
      </c>
      <c r="M140" s="590">
        <f t="shared" si="0"/>
        <v>0.57013258897418007</v>
      </c>
      <c r="N140" s="539">
        <v>616</v>
      </c>
      <c r="O140" s="590">
        <f t="shared" si="1"/>
        <v>0.42986741102581993</v>
      </c>
      <c r="T140" s="591"/>
    </row>
    <row r="141" spans="6:20" x14ac:dyDescent="0.2">
      <c r="F141" s="589" t="s">
        <v>545</v>
      </c>
      <c r="H141" s="589" t="s">
        <v>662</v>
      </c>
      <c r="I141" s="539" t="s">
        <v>545</v>
      </c>
      <c r="K141" s="539">
        <v>600</v>
      </c>
      <c r="L141" s="539">
        <v>572</v>
      </c>
      <c r="M141" s="590">
        <f t="shared" si="0"/>
        <v>0.95333333333333337</v>
      </c>
      <c r="N141" s="539">
        <v>28</v>
      </c>
      <c r="O141" s="590">
        <f t="shared" si="1"/>
        <v>4.6666666666666669E-2</v>
      </c>
      <c r="T141" s="591"/>
    </row>
    <row r="142" spans="6:20" x14ac:dyDescent="0.2">
      <c r="F142" s="589" t="s">
        <v>497</v>
      </c>
      <c r="H142" s="589" t="s">
        <v>587</v>
      </c>
      <c r="I142" s="539" t="s">
        <v>497</v>
      </c>
      <c r="K142" s="539">
        <v>18220</v>
      </c>
      <c r="L142" s="539">
        <v>15805</v>
      </c>
      <c r="M142" s="590">
        <f t="shared" si="0"/>
        <v>0.86745334796926454</v>
      </c>
      <c r="N142" s="539">
        <v>2415</v>
      </c>
      <c r="O142" s="590">
        <f t="shared" si="1"/>
        <v>0.13254665203073546</v>
      </c>
      <c r="T142" s="591"/>
    </row>
    <row r="143" spans="6:20" x14ac:dyDescent="0.2">
      <c r="F143" s="589" t="s">
        <v>498</v>
      </c>
      <c r="H143" s="589" t="s">
        <v>588</v>
      </c>
      <c r="I143" s="539" t="s">
        <v>497</v>
      </c>
      <c r="K143" s="539">
        <v>18220</v>
      </c>
      <c r="L143" s="539">
        <v>15805</v>
      </c>
      <c r="M143" s="590">
        <f t="shared" si="0"/>
        <v>0.86745334796926454</v>
      </c>
      <c r="N143" s="539">
        <v>2415</v>
      </c>
      <c r="O143" s="590">
        <f t="shared" si="1"/>
        <v>0.13254665203073546</v>
      </c>
      <c r="T143" s="591"/>
    </row>
    <row r="144" spans="6:20" x14ac:dyDescent="0.2">
      <c r="F144" s="589" t="s">
        <v>651</v>
      </c>
      <c r="H144" s="589" t="s">
        <v>650</v>
      </c>
      <c r="I144" s="539" t="s">
        <v>901</v>
      </c>
      <c r="K144" s="539">
        <v>2889</v>
      </c>
      <c r="L144" s="539">
        <v>1760</v>
      </c>
      <c r="M144" s="590">
        <f t="shared" si="0"/>
        <v>0.60920733817930084</v>
      </c>
      <c r="N144" s="539">
        <v>1129</v>
      </c>
      <c r="O144" s="590">
        <f t="shared" si="1"/>
        <v>0.39079266182069922</v>
      </c>
      <c r="T144" s="591"/>
    </row>
    <row r="145" spans="5:20" x14ac:dyDescent="0.2">
      <c r="F145" s="589" t="s">
        <v>546</v>
      </c>
      <c r="H145" s="589" t="s">
        <v>663</v>
      </c>
      <c r="I145" s="589" t="s">
        <v>546</v>
      </c>
      <c r="K145" s="539">
        <v>56136</v>
      </c>
      <c r="L145" s="539">
        <v>52993</v>
      </c>
      <c r="M145" s="590">
        <f t="shared" si="0"/>
        <v>0.94401097335043471</v>
      </c>
      <c r="N145" s="539">
        <v>3143</v>
      </c>
      <c r="O145" s="590">
        <f t="shared" si="1"/>
        <v>5.5989026649565343E-2</v>
      </c>
      <c r="T145" s="591"/>
    </row>
    <row r="146" spans="5:20" x14ac:dyDescent="0.2">
      <c r="F146" s="589" t="s">
        <v>499</v>
      </c>
      <c r="H146" s="589" t="s">
        <v>589</v>
      </c>
      <c r="I146" s="539" t="s">
        <v>499</v>
      </c>
      <c r="K146" s="539">
        <v>1530</v>
      </c>
      <c r="L146" s="539">
        <v>1241</v>
      </c>
      <c r="M146" s="590">
        <f t="shared" si="0"/>
        <v>0.81111111111111112</v>
      </c>
      <c r="N146" s="539">
        <v>289</v>
      </c>
      <c r="O146" s="590">
        <f t="shared" si="1"/>
        <v>0.18888888888888888</v>
      </c>
      <c r="T146" s="591"/>
    </row>
    <row r="147" spans="5:20" x14ac:dyDescent="0.2">
      <c r="F147" s="589" t="s">
        <v>547</v>
      </c>
      <c r="H147" s="589" t="s">
        <v>664</v>
      </c>
      <c r="I147" s="539" t="s">
        <v>547</v>
      </c>
      <c r="K147" s="539">
        <v>3636</v>
      </c>
      <c r="L147" s="539">
        <v>3273</v>
      </c>
      <c r="M147" s="590">
        <f t="shared" si="0"/>
        <v>0.90016501650165015</v>
      </c>
      <c r="N147" s="539">
        <v>363</v>
      </c>
      <c r="O147" s="590">
        <f t="shared" si="1"/>
        <v>9.9834983498349836E-2</v>
      </c>
      <c r="T147" s="591"/>
    </row>
    <row r="148" spans="5:20" s="593" customFormat="1" x14ac:dyDescent="0.2">
      <c r="F148" s="592" t="s">
        <v>506</v>
      </c>
      <c r="H148" s="592" t="s">
        <v>614</v>
      </c>
      <c r="I148" s="592" t="s">
        <v>506</v>
      </c>
      <c r="K148" s="539">
        <v>12400</v>
      </c>
      <c r="L148" s="539">
        <v>11130</v>
      </c>
      <c r="M148" s="590">
        <f t="shared" si="0"/>
        <v>0.89758064516129032</v>
      </c>
      <c r="N148" s="539">
        <v>1270</v>
      </c>
      <c r="O148" s="590">
        <f t="shared" si="1"/>
        <v>0.10241935483870968</v>
      </c>
      <c r="T148" s="591"/>
    </row>
    <row r="149" spans="5:20" x14ac:dyDescent="0.2">
      <c r="F149" s="589" t="s">
        <v>507</v>
      </c>
      <c r="H149" s="589" t="s">
        <v>615</v>
      </c>
      <c r="I149" s="539" t="s">
        <v>882</v>
      </c>
      <c r="K149" s="539">
        <v>2013</v>
      </c>
      <c r="L149" s="539">
        <v>1726</v>
      </c>
      <c r="M149" s="590">
        <f t="shared" si="0"/>
        <v>0.85742672627918526</v>
      </c>
      <c r="N149" s="539">
        <v>287</v>
      </c>
      <c r="O149" s="590">
        <f t="shared" si="1"/>
        <v>0.14257327372081471</v>
      </c>
      <c r="T149" s="591"/>
    </row>
    <row r="150" spans="5:20" x14ac:dyDescent="0.2">
      <c r="F150" s="589" t="s">
        <v>597</v>
      </c>
      <c r="H150" s="589" t="s">
        <v>596</v>
      </c>
      <c r="I150" s="539" t="s">
        <v>597</v>
      </c>
      <c r="K150" s="539">
        <v>18450</v>
      </c>
      <c r="L150" s="539">
        <v>16528</v>
      </c>
      <c r="M150" s="590">
        <f t="shared" si="0"/>
        <v>0.89582655826558266</v>
      </c>
      <c r="N150" s="539">
        <v>1922</v>
      </c>
      <c r="O150" s="590">
        <f t="shared" si="1"/>
        <v>0.10417344173441734</v>
      </c>
      <c r="T150" s="591"/>
    </row>
    <row r="151" spans="5:20" x14ac:dyDescent="0.2">
      <c r="F151" s="589" t="s">
        <v>599</v>
      </c>
      <c r="H151" s="589" t="s">
        <v>598</v>
      </c>
      <c r="I151" s="539" t="s">
        <v>597</v>
      </c>
      <c r="K151" s="539">
        <v>18450</v>
      </c>
      <c r="L151" s="539">
        <v>16528</v>
      </c>
      <c r="M151" s="590">
        <f t="shared" si="0"/>
        <v>0.89582655826558266</v>
      </c>
      <c r="N151" s="539">
        <v>1922</v>
      </c>
      <c r="O151" s="590">
        <f t="shared" si="1"/>
        <v>0.10417344173441734</v>
      </c>
      <c r="T151" s="591"/>
    </row>
    <row r="152" spans="5:20" x14ac:dyDescent="0.2">
      <c r="F152" s="589" t="s">
        <v>525</v>
      </c>
      <c r="H152" s="589" t="s">
        <v>634</v>
      </c>
      <c r="I152" s="589" t="s">
        <v>525</v>
      </c>
      <c r="K152" s="539">
        <v>17095</v>
      </c>
      <c r="L152" s="539">
        <v>15457</v>
      </c>
      <c r="M152" s="590">
        <f t="shared" si="0"/>
        <v>0.90418250950570345</v>
      </c>
      <c r="N152" s="539">
        <v>1638</v>
      </c>
      <c r="O152" s="590">
        <f t="shared" si="1"/>
        <v>9.5817490494296581E-2</v>
      </c>
      <c r="T152" s="591"/>
    </row>
    <row r="153" spans="5:20" x14ac:dyDescent="0.2">
      <c r="E153" s="539" t="s">
        <v>497</v>
      </c>
      <c r="F153" s="589" t="s">
        <v>500</v>
      </c>
      <c r="H153" s="589" t="s">
        <v>590</v>
      </c>
      <c r="I153" s="539" t="s">
        <v>500</v>
      </c>
      <c r="K153" s="539">
        <v>1944</v>
      </c>
      <c r="L153" s="539">
        <v>1621</v>
      </c>
      <c r="M153" s="590">
        <f t="shared" si="0"/>
        <v>0.83384773662551437</v>
      </c>
      <c r="N153" s="539">
        <v>323</v>
      </c>
      <c r="O153" s="590">
        <f t="shared" si="1"/>
        <v>0.1661522633744856</v>
      </c>
      <c r="T153" s="591"/>
    </row>
    <row r="154" spans="5:20" x14ac:dyDescent="0.2">
      <c r="E154" s="539" t="s">
        <v>518</v>
      </c>
      <c r="F154" s="589" t="s">
        <v>500</v>
      </c>
      <c r="H154" s="589" t="s">
        <v>625</v>
      </c>
      <c r="I154" s="589" t="s">
        <v>500</v>
      </c>
      <c r="K154" s="539">
        <v>55196</v>
      </c>
      <c r="L154" s="539">
        <v>52919</v>
      </c>
      <c r="M154" s="590">
        <f t="shared" si="0"/>
        <v>0.95874701065294587</v>
      </c>
      <c r="N154" s="539">
        <v>2277</v>
      </c>
      <c r="O154" s="590">
        <f t="shared" si="1"/>
        <v>4.1252989347054132E-2</v>
      </c>
      <c r="T154" s="591"/>
    </row>
    <row r="155" spans="5:20" x14ac:dyDescent="0.2">
      <c r="F155" s="589" t="s">
        <v>605</v>
      </c>
      <c r="H155" s="589" t="s">
        <v>604</v>
      </c>
      <c r="I155" s="539" t="s">
        <v>878</v>
      </c>
      <c r="K155" s="539">
        <v>4486</v>
      </c>
      <c r="L155" s="539">
        <v>3495</v>
      </c>
      <c r="M155" s="590">
        <f t="shared" si="0"/>
        <v>0.77909050378956757</v>
      </c>
      <c r="N155" s="539">
        <v>991</v>
      </c>
      <c r="O155" s="590">
        <f t="shared" si="1"/>
        <v>0.22090949621043246</v>
      </c>
      <c r="T155" s="591"/>
    </row>
    <row r="156" spans="5:20" x14ac:dyDescent="0.2">
      <c r="F156" s="589" t="s">
        <v>548</v>
      </c>
      <c r="H156" s="589" t="s">
        <v>665</v>
      </c>
      <c r="I156" s="589" t="s">
        <v>548</v>
      </c>
      <c r="K156" s="539">
        <v>56136</v>
      </c>
      <c r="L156" s="539">
        <v>52993</v>
      </c>
      <c r="M156" s="590">
        <f t="shared" si="0"/>
        <v>0.94401097335043471</v>
      </c>
      <c r="N156" s="539">
        <v>3143</v>
      </c>
      <c r="O156" s="590">
        <f t="shared" si="1"/>
        <v>5.5989026649565343E-2</v>
      </c>
      <c r="T156" s="591"/>
    </row>
    <row r="157" spans="5:20" x14ac:dyDescent="0.2">
      <c r="F157" s="589" t="s">
        <v>526</v>
      </c>
      <c r="H157" s="589" t="s">
        <v>635</v>
      </c>
      <c r="I157" s="589" t="s">
        <v>526</v>
      </c>
      <c r="K157" s="539">
        <v>17095</v>
      </c>
      <c r="L157" s="539">
        <v>15457</v>
      </c>
      <c r="M157" s="590">
        <f t="shared" si="0"/>
        <v>0.90418250950570345</v>
      </c>
      <c r="N157" s="539">
        <v>1638</v>
      </c>
      <c r="O157" s="590">
        <f t="shared" si="1"/>
        <v>9.5817490494296581E-2</v>
      </c>
      <c r="T157" s="591"/>
    </row>
    <row r="158" spans="5:20" x14ac:dyDescent="0.2">
      <c r="F158" s="589" t="s">
        <v>534</v>
      </c>
      <c r="H158" s="589" t="s">
        <v>643</v>
      </c>
      <c r="I158" s="539" t="s">
        <v>534</v>
      </c>
      <c r="K158" s="539">
        <v>1077</v>
      </c>
      <c r="L158" s="539">
        <v>804</v>
      </c>
      <c r="M158" s="590">
        <f t="shared" si="0"/>
        <v>0.74651810584958223</v>
      </c>
      <c r="N158" s="539">
        <v>273</v>
      </c>
      <c r="O158" s="590">
        <f t="shared" si="1"/>
        <v>0.25348189415041783</v>
      </c>
      <c r="T158" s="591"/>
    </row>
    <row r="159" spans="5:20" x14ac:dyDescent="0.2">
      <c r="F159" s="589" t="s">
        <v>564</v>
      </c>
      <c r="H159" s="589" t="s">
        <v>681</v>
      </c>
      <c r="I159" s="539" t="s">
        <v>893</v>
      </c>
      <c r="K159" s="539">
        <v>1356</v>
      </c>
      <c r="L159" s="539">
        <v>1274</v>
      </c>
      <c r="M159" s="590">
        <f t="shared" si="0"/>
        <v>0.93952802359882004</v>
      </c>
      <c r="N159" s="539">
        <v>82</v>
      </c>
      <c r="O159" s="590">
        <f t="shared" si="1"/>
        <v>6.047197640117994E-2</v>
      </c>
      <c r="T159" s="591"/>
    </row>
    <row r="160" spans="5:20" x14ac:dyDescent="0.2">
      <c r="F160" s="589" t="s">
        <v>611</v>
      </c>
      <c r="H160" s="589" t="s">
        <v>610</v>
      </c>
      <c r="I160" s="539" t="s">
        <v>904</v>
      </c>
      <c r="K160" s="539">
        <v>3804</v>
      </c>
      <c r="L160" s="539">
        <v>3261</v>
      </c>
      <c r="M160" s="590">
        <f t="shared" si="0"/>
        <v>0.85725552050473186</v>
      </c>
      <c r="N160" s="539">
        <v>543</v>
      </c>
      <c r="O160" s="590">
        <f t="shared" si="1"/>
        <v>0.14274447949526814</v>
      </c>
      <c r="T160" s="591"/>
    </row>
    <row r="161" spans="6:20" x14ac:dyDescent="0.2">
      <c r="F161" s="589" t="s">
        <v>504</v>
      </c>
      <c r="H161" s="589" t="s">
        <v>612</v>
      </c>
      <c r="I161" s="539" t="s">
        <v>905</v>
      </c>
      <c r="K161" s="539">
        <v>4373</v>
      </c>
      <c r="L161" s="539">
        <v>3975</v>
      </c>
      <c r="M161" s="590">
        <f t="shared" si="0"/>
        <v>0.90898696546992908</v>
      </c>
      <c r="N161" s="539">
        <v>398</v>
      </c>
      <c r="O161" s="590">
        <f t="shared" si="1"/>
        <v>9.1013034530070883E-2</v>
      </c>
      <c r="T161" s="591"/>
    </row>
    <row r="162" spans="6:20" x14ac:dyDescent="0.2">
      <c r="F162" s="589" t="s">
        <v>508</v>
      </c>
      <c r="H162" s="589" t="s">
        <v>616</v>
      </c>
      <c r="I162" s="539" t="s">
        <v>880</v>
      </c>
      <c r="K162" s="539">
        <v>12400</v>
      </c>
      <c r="L162" s="539">
        <v>11130</v>
      </c>
      <c r="M162" s="590">
        <f t="shared" si="0"/>
        <v>0.89758064516129032</v>
      </c>
      <c r="N162" s="539">
        <v>1270</v>
      </c>
      <c r="O162" s="590">
        <f t="shared" si="1"/>
        <v>0.10241935483870968</v>
      </c>
      <c r="T162" s="591"/>
    </row>
    <row r="163" spans="6:20" x14ac:dyDescent="0.2">
      <c r="F163" s="589" t="s">
        <v>509</v>
      </c>
      <c r="H163" s="589" t="s">
        <v>617</v>
      </c>
      <c r="I163" s="539" t="s">
        <v>509</v>
      </c>
      <c r="K163" s="539">
        <v>589</v>
      </c>
      <c r="L163" s="539">
        <v>480</v>
      </c>
      <c r="M163" s="590">
        <f t="shared" si="0"/>
        <v>0.81494057724957558</v>
      </c>
      <c r="N163" s="539">
        <v>109</v>
      </c>
      <c r="O163" s="590">
        <f t="shared" si="1"/>
        <v>0.18505942275042445</v>
      </c>
      <c r="T163" s="591"/>
    </row>
    <row r="164" spans="6:20" x14ac:dyDescent="0.2">
      <c r="F164" s="589" t="s">
        <v>516</v>
      </c>
      <c r="H164" s="589" t="s">
        <v>624</v>
      </c>
      <c r="I164" s="539" t="s">
        <v>885</v>
      </c>
      <c r="K164" s="539">
        <v>4763</v>
      </c>
      <c r="L164" s="539">
        <v>4160</v>
      </c>
      <c r="M164" s="590">
        <f t="shared" si="0"/>
        <v>0.87339911820281335</v>
      </c>
      <c r="N164" s="539">
        <v>603</v>
      </c>
      <c r="O164" s="590">
        <f t="shared" si="1"/>
        <v>0.12660088179718665</v>
      </c>
      <c r="T164" s="591"/>
    </row>
    <row r="165" spans="6:20" x14ac:dyDescent="0.2">
      <c r="F165" s="589" t="s">
        <v>527</v>
      </c>
      <c r="H165" s="589" t="s">
        <v>636</v>
      </c>
      <c r="I165" s="539" t="s">
        <v>527</v>
      </c>
      <c r="K165" s="539">
        <v>646</v>
      </c>
      <c r="L165" s="539">
        <v>586</v>
      </c>
      <c r="M165" s="590">
        <f t="shared" si="0"/>
        <v>0.90712074303405577</v>
      </c>
      <c r="N165" s="539">
        <v>60</v>
      </c>
      <c r="O165" s="590">
        <f t="shared" si="1"/>
        <v>9.2879256965944276E-2</v>
      </c>
      <c r="T165" s="591"/>
    </row>
    <row r="166" spans="6:20" x14ac:dyDescent="0.2">
      <c r="F166" s="589" t="s">
        <v>510</v>
      </c>
      <c r="H166" s="589" t="s">
        <v>618</v>
      </c>
      <c r="I166" s="539" t="s">
        <v>883</v>
      </c>
      <c r="K166" s="539">
        <v>586</v>
      </c>
      <c r="L166" s="539">
        <v>473</v>
      </c>
      <c r="M166" s="590">
        <f t="shared" si="0"/>
        <v>0.80716723549488056</v>
      </c>
      <c r="N166" s="539">
        <v>113</v>
      </c>
      <c r="O166" s="590">
        <f t="shared" si="1"/>
        <v>0.19283276450511946</v>
      </c>
      <c r="T166" s="591"/>
    </row>
    <row r="167" spans="6:20" x14ac:dyDescent="0.2">
      <c r="F167" s="589" t="s">
        <v>510</v>
      </c>
      <c r="H167" s="589" t="s">
        <v>682</v>
      </c>
      <c r="I167" s="539" t="s">
        <v>883</v>
      </c>
      <c r="K167" s="539">
        <v>1458</v>
      </c>
      <c r="L167" s="539">
        <v>1312</v>
      </c>
      <c r="M167" s="590">
        <f t="shared" si="0"/>
        <v>0.89986282578875176</v>
      </c>
      <c r="N167" s="539">
        <v>146</v>
      </c>
      <c r="O167" s="590">
        <f t="shared" si="1"/>
        <v>0.10013717421124829</v>
      </c>
      <c r="T167" s="591"/>
    </row>
    <row r="168" spans="6:20" x14ac:dyDescent="0.2">
      <c r="F168" s="589" t="s">
        <v>535</v>
      </c>
      <c r="H168" s="589" t="s">
        <v>644</v>
      </c>
      <c r="I168" s="539" t="s">
        <v>535</v>
      </c>
      <c r="K168" s="539">
        <v>1299</v>
      </c>
      <c r="L168" s="539">
        <v>1031</v>
      </c>
      <c r="M168" s="590">
        <f t="shared" si="0"/>
        <v>0.79368745188606615</v>
      </c>
      <c r="N168" s="539">
        <v>268</v>
      </c>
      <c r="O168" s="590">
        <f t="shared" si="1"/>
        <v>0.20631254811393379</v>
      </c>
      <c r="T168" s="591"/>
    </row>
    <row r="169" spans="6:20" x14ac:dyDescent="0.2">
      <c r="F169" s="589" t="s">
        <v>571</v>
      </c>
      <c r="H169" s="589" t="s">
        <v>691</v>
      </c>
      <c r="I169" s="589" t="s">
        <v>571</v>
      </c>
      <c r="K169" s="539">
        <v>6767</v>
      </c>
      <c r="L169" s="539">
        <v>6063</v>
      </c>
      <c r="M169" s="590">
        <f t="shared" si="0"/>
        <v>0.89596571597458252</v>
      </c>
      <c r="N169" s="539">
        <v>704</v>
      </c>
      <c r="O169" s="590">
        <f t="shared" si="1"/>
        <v>0.10403428402541746</v>
      </c>
      <c r="T169" s="591"/>
    </row>
    <row r="170" spans="6:20" x14ac:dyDescent="0.2">
      <c r="F170" s="589" t="s">
        <v>528</v>
      </c>
      <c r="H170" s="589" t="s">
        <v>637</v>
      </c>
      <c r="I170" s="589" t="s">
        <v>528</v>
      </c>
      <c r="K170" s="539">
        <v>17095</v>
      </c>
      <c r="L170" s="539">
        <v>15457</v>
      </c>
      <c r="M170" s="590">
        <f t="shared" si="0"/>
        <v>0.90418250950570345</v>
      </c>
      <c r="N170" s="539">
        <v>1638</v>
      </c>
      <c r="O170" s="590">
        <f t="shared" si="1"/>
        <v>9.5817490494296581E-2</v>
      </c>
      <c r="T170" s="591"/>
    </row>
    <row r="171" spans="6:20" x14ac:dyDescent="0.2">
      <c r="F171" s="589" t="s">
        <v>565</v>
      </c>
      <c r="H171" s="589" t="s">
        <v>683</v>
      </c>
      <c r="I171" s="589" t="s">
        <v>565</v>
      </c>
      <c r="K171" s="539">
        <v>5364</v>
      </c>
      <c r="L171" s="539">
        <v>5102</v>
      </c>
      <c r="M171" s="590">
        <f t="shared" si="0"/>
        <v>0.95115585384041756</v>
      </c>
      <c r="N171" s="539">
        <v>262</v>
      </c>
      <c r="O171" s="590">
        <f t="shared" si="1"/>
        <v>4.8844146159582401E-2</v>
      </c>
      <c r="T171" s="591"/>
    </row>
    <row r="172" spans="6:20" x14ac:dyDescent="0.2">
      <c r="F172" s="589" t="s">
        <v>517</v>
      </c>
      <c r="H172" s="589" t="s">
        <v>626</v>
      </c>
      <c r="I172" s="589" t="s">
        <v>517</v>
      </c>
      <c r="K172" s="539">
        <v>55196</v>
      </c>
      <c r="L172" s="539">
        <v>52919</v>
      </c>
      <c r="M172" s="590">
        <f t="shared" si="0"/>
        <v>0.95874701065294587</v>
      </c>
      <c r="N172" s="539">
        <v>2277</v>
      </c>
      <c r="O172" s="590">
        <f t="shared" si="1"/>
        <v>4.1252989347054132E-2</v>
      </c>
      <c r="T172" s="591"/>
    </row>
    <row r="173" spans="6:20" x14ac:dyDescent="0.2">
      <c r="F173" s="589" t="s">
        <v>557</v>
      </c>
      <c r="H173" s="589" t="s">
        <v>674</v>
      </c>
      <c r="I173" s="539" t="s">
        <v>557</v>
      </c>
      <c r="K173" s="539">
        <v>1205</v>
      </c>
      <c r="L173" s="539">
        <v>1047</v>
      </c>
      <c r="M173" s="590">
        <f t="shared" si="0"/>
        <v>0.86887966804979255</v>
      </c>
      <c r="N173" s="539">
        <v>158</v>
      </c>
      <c r="O173" s="590">
        <f t="shared" si="1"/>
        <v>0.13112033195020747</v>
      </c>
      <c r="T173" s="591"/>
    </row>
    <row r="174" spans="6:20" x14ac:dyDescent="0.2">
      <c r="F174" s="589" t="s">
        <v>518</v>
      </c>
      <c r="H174" s="589" t="s">
        <v>627</v>
      </c>
      <c r="I174" s="539" t="s">
        <v>518</v>
      </c>
      <c r="K174" s="539">
        <v>55196</v>
      </c>
      <c r="L174" s="539">
        <v>52919</v>
      </c>
      <c r="M174" s="590">
        <f t="shared" si="0"/>
        <v>0.95874701065294587</v>
      </c>
      <c r="N174" s="539">
        <v>2277</v>
      </c>
      <c r="O174" s="590">
        <f t="shared" si="1"/>
        <v>4.1252989347054132E-2</v>
      </c>
      <c r="T174" s="591"/>
    </row>
    <row r="175" spans="6:20" x14ac:dyDescent="0.2">
      <c r="F175" s="589" t="s">
        <v>519</v>
      </c>
      <c r="H175" s="589" t="s">
        <v>628</v>
      </c>
      <c r="I175" s="539" t="s">
        <v>518</v>
      </c>
      <c r="K175" s="539">
        <v>55196</v>
      </c>
      <c r="L175" s="539">
        <v>52919</v>
      </c>
      <c r="M175" s="590">
        <f t="shared" si="0"/>
        <v>0.95874701065294587</v>
      </c>
      <c r="N175" s="539">
        <v>2277</v>
      </c>
      <c r="O175" s="590">
        <f t="shared" si="1"/>
        <v>4.1252989347054132E-2</v>
      </c>
      <c r="T175" s="591"/>
    </row>
    <row r="176" spans="6:20" x14ac:dyDescent="0.2">
      <c r="F176" s="589" t="s">
        <v>511</v>
      </c>
      <c r="H176" s="589" t="s">
        <v>619</v>
      </c>
      <c r="I176" s="589" t="s">
        <v>511</v>
      </c>
      <c r="K176" s="539">
        <v>12400</v>
      </c>
      <c r="L176" s="539">
        <v>11130</v>
      </c>
      <c r="M176" s="590">
        <f t="shared" si="0"/>
        <v>0.89758064516129032</v>
      </c>
      <c r="N176" s="539">
        <v>1270</v>
      </c>
      <c r="O176" s="590">
        <f t="shared" si="1"/>
        <v>0.10241935483870968</v>
      </c>
      <c r="T176" s="591"/>
    </row>
    <row r="177" spans="6:20" x14ac:dyDescent="0.2">
      <c r="F177" s="589" t="s">
        <v>512</v>
      </c>
      <c r="H177" s="589" t="s">
        <v>620</v>
      </c>
      <c r="I177" s="539" t="s">
        <v>512</v>
      </c>
      <c r="K177" s="539">
        <v>322</v>
      </c>
      <c r="L177" s="539">
        <v>247</v>
      </c>
      <c r="M177" s="590">
        <f t="shared" si="0"/>
        <v>0.76708074534161486</v>
      </c>
      <c r="N177" s="539">
        <v>75</v>
      </c>
      <c r="O177" s="590">
        <f t="shared" si="1"/>
        <v>0.23291925465838509</v>
      </c>
      <c r="T177" s="591"/>
    </row>
    <row r="178" spans="6:20" x14ac:dyDescent="0.2">
      <c r="F178" s="589" t="s">
        <v>492</v>
      </c>
      <c r="H178" s="589" t="s">
        <v>582</v>
      </c>
      <c r="I178" s="539" t="s">
        <v>492</v>
      </c>
      <c r="K178" s="539">
        <v>814</v>
      </c>
      <c r="L178" s="539">
        <v>652</v>
      </c>
      <c r="M178" s="590">
        <f t="shared" si="0"/>
        <v>0.80098280098280095</v>
      </c>
      <c r="N178" s="539">
        <v>162</v>
      </c>
      <c r="O178" s="590">
        <f t="shared" si="1"/>
        <v>0.19901719901719903</v>
      </c>
      <c r="T178" s="591"/>
    </row>
    <row r="179" spans="6:20" x14ac:dyDescent="0.2">
      <c r="F179" s="589" t="s">
        <v>529</v>
      </c>
      <c r="H179" s="589" t="s">
        <v>638</v>
      </c>
      <c r="I179" s="539" t="s">
        <v>529</v>
      </c>
      <c r="K179" s="539">
        <v>17095</v>
      </c>
      <c r="L179" s="539">
        <v>15457</v>
      </c>
      <c r="M179" s="590">
        <f t="shared" si="0"/>
        <v>0.90418250950570345</v>
      </c>
      <c r="N179" s="539">
        <v>1638</v>
      </c>
      <c r="O179" s="590">
        <f t="shared" si="1"/>
        <v>9.5817490494296581E-2</v>
      </c>
      <c r="T179" s="591"/>
    </row>
    <row r="180" spans="6:20" x14ac:dyDescent="0.2">
      <c r="F180" s="589" t="s">
        <v>530</v>
      </c>
      <c r="H180" s="589" t="s">
        <v>639</v>
      </c>
      <c r="I180" s="539" t="s">
        <v>529</v>
      </c>
      <c r="K180" s="539">
        <v>17095</v>
      </c>
      <c r="L180" s="539">
        <v>15457</v>
      </c>
      <c r="M180" s="590">
        <f t="shared" ref="M180:M219" si="2">L180/K180</f>
        <v>0.90418250950570345</v>
      </c>
      <c r="N180" s="539">
        <v>1638</v>
      </c>
      <c r="O180" s="590">
        <f t="shared" ref="O180:O219" si="3">N180/K180</f>
        <v>9.5817490494296581E-2</v>
      </c>
      <c r="T180" s="591"/>
    </row>
    <row r="181" spans="6:20" x14ac:dyDescent="0.2">
      <c r="F181" s="589" t="s">
        <v>489</v>
      </c>
      <c r="H181" s="589" t="s">
        <v>579</v>
      </c>
      <c r="I181" s="539" t="s">
        <v>489</v>
      </c>
      <c r="K181" s="539">
        <v>1754</v>
      </c>
      <c r="L181" s="539">
        <v>1459</v>
      </c>
      <c r="M181" s="590">
        <f t="shared" si="2"/>
        <v>0.83181299885974913</v>
      </c>
      <c r="N181" s="539">
        <v>295</v>
      </c>
      <c r="O181" s="590">
        <f t="shared" si="3"/>
        <v>0.16818700114025084</v>
      </c>
      <c r="T181" s="591"/>
    </row>
    <row r="182" spans="6:20" x14ac:dyDescent="0.2">
      <c r="F182" s="589" t="s">
        <v>531</v>
      </c>
      <c r="H182" s="589" t="s">
        <v>640</v>
      </c>
      <c r="I182" s="539" t="s">
        <v>902</v>
      </c>
      <c r="K182" s="539">
        <v>2526</v>
      </c>
      <c r="L182" s="539">
        <v>2169</v>
      </c>
      <c r="M182" s="590">
        <f t="shared" si="2"/>
        <v>0.85866983372921613</v>
      </c>
      <c r="N182" s="539">
        <v>357</v>
      </c>
      <c r="O182" s="590">
        <f t="shared" si="3"/>
        <v>0.14133016627078385</v>
      </c>
      <c r="T182" s="591"/>
    </row>
    <row r="183" spans="6:20" x14ac:dyDescent="0.2">
      <c r="F183" s="589" t="s">
        <v>536</v>
      </c>
      <c r="H183" s="589" t="s">
        <v>645</v>
      </c>
      <c r="I183" s="539" t="s">
        <v>887</v>
      </c>
      <c r="K183" s="539">
        <v>3479</v>
      </c>
      <c r="L183" s="539">
        <v>2947</v>
      </c>
      <c r="M183" s="590">
        <f t="shared" si="2"/>
        <v>0.84708249496981891</v>
      </c>
      <c r="N183" s="539">
        <v>532</v>
      </c>
      <c r="O183" s="590">
        <f t="shared" si="3"/>
        <v>0.15291750503018109</v>
      </c>
      <c r="T183" s="591"/>
    </row>
    <row r="184" spans="6:20" x14ac:dyDescent="0.2">
      <c r="F184" s="589" t="s">
        <v>653</v>
      </c>
      <c r="H184" s="589" t="s">
        <v>652</v>
      </c>
      <c r="I184" s="539" t="s">
        <v>900</v>
      </c>
      <c r="K184" s="539">
        <v>7363</v>
      </c>
      <c r="L184" s="539">
        <v>5952</v>
      </c>
      <c r="M184" s="590">
        <f t="shared" si="2"/>
        <v>0.80836615509982346</v>
      </c>
      <c r="N184" s="539">
        <v>1411</v>
      </c>
      <c r="O184" s="590">
        <f t="shared" si="3"/>
        <v>0.19163384490017657</v>
      </c>
      <c r="T184" s="591"/>
    </row>
    <row r="185" spans="6:20" x14ac:dyDescent="0.2">
      <c r="F185" s="589" t="s">
        <v>513</v>
      </c>
      <c r="H185" s="589" t="s">
        <v>621</v>
      </c>
      <c r="I185" s="539" t="s">
        <v>884</v>
      </c>
      <c r="K185" s="539">
        <v>1064</v>
      </c>
      <c r="L185" s="539">
        <v>802</v>
      </c>
      <c r="M185" s="590">
        <f t="shared" si="2"/>
        <v>0.75375939849624063</v>
      </c>
      <c r="N185" s="539">
        <v>262</v>
      </c>
      <c r="O185" s="590">
        <f t="shared" si="3"/>
        <v>0.2462406015037594</v>
      </c>
      <c r="T185" s="591"/>
    </row>
    <row r="186" spans="6:20" x14ac:dyDescent="0.2">
      <c r="F186" s="589" t="s">
        <v>538</v>
      </c>
      <c r="H186" s="589" t="s">
        <v>655</v>
      </c>
      <c r="I186" s="539" t="s">
        <v>889</v>
      </c>
      <c r="K186" s="539">
        <v>4015</v>
      </c>
      <c r="L186" s="539">
        <v>3307</v>
      </c>
      <c r="M186" s="590">
        <f t="shared" si="2"/>
        <v>0.82366127023661273</v>
      </c>
      <c r="N186" s="539">
        <v>708</v>
      </c>
      <c r="O186" s="590">
        <f t="shared" si="3"/>
        <v>0.1763387297633873</v>
      </c>
      <c r="T186" s="591"/>
    </row>
    <row r="187" spans="6:20" x14ac:dyDescent="0.2">
      <c r="F187" s="589" t="s">
        <v>549</v>
      </c>
      <c r="H187" s="589" t="s">
        <v>666</v>
      </c>
      <c r="I187" s="589" t="s">
        <v>549</v>
      </c>
      <c r="K187" s="539">
        <v>56136</v>
      </c>
      <c r="L187" s="539">
        <v>52993</v>
      </c>
      <c r="M187" s="590">
        <f t="shared" si="2"/>
        <v>0.94401097335043471</v>
      </c>
      <c r="N187" s="539">
        <v>3143</v>
      </c>
      <c r="O187" s="590">
        <f t="shared" si="3"/>
        <v>5.5989026649565343E-2</v>
      </c>
      <c r="T187" s="591"/>
    </row>
    <row r="188" spans="6:20" x14ac:dyDescent="0.2">
      <c r="F188" s="589" t="s">
        <v>550</v>
      </c>
      <c r="H188" s="589" t="s">
        <v>667</v>
      </c>
      <c r="I188" s="539" t="s">
        <v>550</v>
      </c>
      <c r="K188" s="539">
        <v>56136</v>
      </c>
      <c r="L188" s="539">
        <v>52993</v>
      </c>
      <c r="M188" s="590">
        <f t="shared" si="2"/>
        <v>0.94401097335043471</v>
      </c>
      <c r="N188" s="539">
        <v>3143</v>
      </c>
      <c r="O188" s="590">
        <f t="shared" si="3"/>
        <v>5.5989026649565343E-2</v>
      </c>
      <c r="T188" s="591"/>
    </row>
    <row r="189" spans="6:20" x14ac:dyDescent="0.2">
      <c r="F189" s="589" t="s">
        <v>551</v>
      </c>
      <c r="H189" s="589" t="s">
        <v>668</v>
      </c>
      <c r="I189" s="539" t="s">
        <v>550</v>
      </c>
      <c r="K189" s="539">
        <v>56136</v>
      </c>
      <c r="L189" s="539">
        <v>52993</v>
      </c>
      <c r="M189" s="590">
        <f t="shared" si="2"/>
        <v>0.94401097335043471</v>
      </c>
      <c r="N189" s="539">
        <v>3143</v>
      </c>
      <c r="O189" s="590">
        <f t="shared" si="3"/>
        <v>5.5989026649565343E-2</v>
      </c>
      <c r="T189" s="591"/>
    </row>
    <row r="190" spans="6:20" x14ac:dyDescent="0.2">
      <c r="F190" s="589" t="s">
        <v>552</v>
      </c>
      <c r="H190" s="589" t="s">
        <v>669</v>
      </c>
      <c r="I190" s="539" t="s">
        <v>552</v>
      </c>
      <c r="K190" s="539">
        <v>777</v>
      </c>
      <c r="L190" s="539">
        <v>651</v>
      </c>
      <c r="M190" s="590">
        <f t="shared" si="2"/>
        <v>0.83783783783783783</v>
      </c>
      <c r="N190" s="539">
        <v>126</v>
      </c>
      <c r="O190" s="590">
        <f t="shared" si="3"/>
        <v>0.16216216216216217</v>
      </c>
    </row>
    <row r="191" spans="6:20" x14ac:dyDescent="0.2">
      <c r="F191" s="589" t="s">
        <v>514</v>
      </c>
      <c r="H191" s="589" t="s">
        <v>622</v>
      </c>
      <c r="I191" s="539" t="s">
        <v>514</v>
      </c>
      <c r="K191" s="539">
        <v>891</v>
      </c>
      <c r="L191" s="539">
        <v>835</v>
      </c>
      <c r="M191" s="590">
        <f t="shared" si="2"/>
        <v>0.93714927048260377</v>
      </c>
      <c r="N191" s="539">
        <v>56</v>
      </c>
      <c r="O191" s="590">
        <f t="shared" si="3"/>
        <v>6.2850729517396189E-2</v>
      </c>
    </row>
    <row r="192" spans="6:20" x14ac:dyDescent="0.2">
      <c r="F192" s="589" t="s">
        <v>558</v>
      </c>
      <c r="H192" s="589" t="s">
        <v>675</v>
      </c>
      <c r="I192" s="539" t="s">
        <v>903</v>
      </c>
      <c r="K192" s="539">
        <v>2673</v>
      </c>
      <c r="L192" s="539">
        <v>2416</v>
      </c>
      <c r="M192" s="590">
        <f t="shared" si="2"/>
        <v>0.90385334829779274</v>
      </c>
      <c r="N192" s="539">
        <v>257</v>
      </c>
      <c r="O192" s="590">
        <f t="shared" si="3"/>
        <v>9.6146651702207264E-2</v>
      </c>
    </row>
    <row r="193" spans="6:15" x14ac:dyDescent="0.2">
      <c r="F193" s="589" t="s">
        <v>493</v>
      </c>
      <c r="H193" s="589" t="s">
        <v>583</v>
      </c>
      <c r="I193" s="539" t="s">
        <v>493</v>
      </c>
      <c r="K193" s="539">
        <v>704</v>
      </c>
      <c r="L193" s="539">
        <v>615</v>
      </c>
      <c r="M193" s="590">
        <f t="shared" si="2"/>
        <v>0.87357954545454541</v>
      </c>
      <c r="N193" s="539">
        <v>89</v>
      </c>
      <c r="O193" s="590">
        <f t="shared" si="3"/>
        <v>0.12642045454545456</v>
      </c>
    </row>
    <row r="194" spans="6:15" ht="13.5" customHeight="1" x14ac:dyDescent="0.2">
      <c r="F194" s="589" t="s">
        <v>501</v>
      </c>
      <c r="H194" s="589" t="s">
        <v>591</v>
      </c>
      <c r="I194" s="539" t="s">
        <v>501</v>
      </c>
      <c r="K194" s="539">
        <v>1852</v>
      </c>
      <c r="L194" s="539">
        <v>1429</v>
      </c>
      <c r="M194" s="590">
        <f t="shared" si="2"/>
        <v>0.77159827213822896</v>
      </c>
      <c r="N194" s="539">
        <v>423</v>
      </c>
      <c r="O194" s="590">
        <f t="shared" si="3"/>
        <v>0.22840172786177107</v>
      </c>
    </row>
    <row r="195" spans="6:15" x14ac:dyDescent="0.2">
      <c r="F195" s="589" t="s">
        <v>553</v>
      </c>
      <c r="H195" s="589" t="s">
        <v>670</v>
      </c>
      <c r="I195" s="539" t="s">
        <v>873</v>
      </c>
      <c r="K195" s="539">
        <v>2991</v>
      </c>
      <c r="L195" s="539">
        <v>2814</v>
      </c>
      <c r="M195" s="590">
        <f t="shared" si="2"/>
        <v>0.94082246740220665</v>
      </c>
      <c r="N195" s="539">
        <v>177</v>
      </c>
      <c r="O195" s="590">
        <f t="shared" si="3"/>
        <v>5.9177532597793382E-2</v>
      </c>
    </row>
    <row r="196" spans="6:15" x14ac:dyDescent="0.2">
      <c r="F196" s="589" t="s">
        <v>560</v>
      </c>
      <c r="H196" s="589" t="s">
        <v>677</v>
      </c>
      <c r="I196" s="539" t="s">
        <v>891</v>
      </c>
      <c r="K196" s="539">
        <v>8740</v>
      </c>
      <c r="L196" s="539">
        <v>8015</v>
      </c>
      <c r="M196" s="590">
        <f t="shared" si="2"/>
        <v>0.91704805491990848</v>
      </c>
      <c r="N196" s="539">
        <v>725</v>
      </c>
      <c r="O196" s="590">
        <f t="shared" si="3"/>
        <v>8.295194508009153E-2</v>
      </c>
    </row>
    <row r="197" spans="6:15" x14ac:dyDescent="0.2">
      <c r="F197" s="589" t="s">
        <v>559</v>
      </c>
      <c r="H197" s="589" t="s">
        <v>676</v>
      </c>
      <c r="I197" s="539" t="s">
        <v>559</v>
      </c>
      <c r="K197" s="539">
        <v>1145</v>
      </c>
      <c r="L197" s="539">
        <v>1025</v>
      </c>
      <c r="M197" s="590">
        <f t="shared" si="2"/>
        <v>0.89519650655021832</v>
      </c>
      <c r="N197" s="539">
        <v>120</v>
      </c>
      <c r="O197" s="590">
        <f t="shared" si="3"/>
        <v>0.10480349344978165</v>
      </c>
    </row>
    <row r="198" spans="6:15" x14ac:dyDescent="0.2">
      <c r="F198" s="589" t="s">
        <v>502</v>
      </c>
      <c r="H198" s="589" t="s">
        <v>592</v>
      </c>
      <c r="I198" s="539" t="s">
        <v>502</v>
      </c>
      <c r="K198" s="539">
        <v>2002</v>
      </c>
      <c r="L198" s="539">
        <v>1819</v>
      </c>
      <c r="M198" s="590">
        <f t="shared" si="2"/>
        <v>0.90859140859140863</v>
      </c>
      <c r="N198" s="539">
        <v>183</v>
      </c>
      <c r="O198" s="590">
        <f t="shared" si="3"/>
        <v>9.1408591408591408E-2</v>
      </c>
    </row>
    <row r="199" spans="6:15" x14ac:dyDescent="0.2">
      <c r="F199" s="589" t="s">
        <v>607</v>
      </c>
      <c r="H199" s="589" t="s">
        <v>606</v>
      </c>
      <c r="I199" s="539" t="s">
        <v>879</v>
      </c>
      <c r="K199" s="539">
        <v>627</v>
      </c>
      <c r="L199" s="539">
        <v>414</v>
      </c>
      <c r="M199" s="590">
        <f t="shared" si="2"/>
        <v>0.66028708133971292</v>
      </c>
      <c r="N199" s="539">
        <v>213</v>
      </c>
      <c r="O199" s="590">
        <f t="shared" si="3"/>
        <v>0.33971291866028708</v>
      </c>
    </row>
    <row r="200" spans="6:15" x14ac:dyDescent="0.2">
      <c r="F200" s="589" t="s">
        <v>572</v>
      </c>
      <c r="H200" s="589" t="s">
        <v>692</v>
      </c>
      <c r="I200" s="539" t="s">
        <v>572</v>
      </c>
      <c r="K200" s="539">
        <v>2738</v>
      </c>
      <c r="L200" s="539">
        <v>2281</v>
      </c>
      <c r="M200" s="590">
        <f t="shared" si="2"/>
        <v>0.83308984660336016</v>
      </c>
      <c r="N200" s="539">
        <v>457</v>
      </c>
      <c r="O200" s="590">
        <f t="shared" si="3"/>
        <v>0.16691015339663989</v>
      </c>
    </row>
    <row r="201" spans="6:15" x14ac:dyDescent="0.2">
      <c r="F201" s="589" t="s">
        <v>907</v>
      </c>
      <c r="H201" s="589" t="s">
        <v>629</v>
      </c>
      <c r="I201" s="539" t="s">
        <v>907</v>
      </c>
      <c r="K201" s="539">
        <v>663</v>
      </c>
      <c r="L201" s="539">
        <v>612</v>
      </c>
      <c r="M201" s="590">
        <f t="shared" si="2"/>
        <v>0.92307692307692313</v>
      </c>
      <c r="N201" s="539">
        <v>51</v>
      </c>
      <c r="O201" s="590">
        <f t="shared" si="3"/>
        <v>7.6923076923076927E-2</v>
      </c>
    </row>
    <row r="202" spans="6:15" x14ac:dyDescent="0.2">
      <c r="F202" s="589" t="s">
        <v>515</v>
      </c>
      <c r="H202" s="589" t="s">
        <v>623</v>
      </c>
      <c r="I202" s="589" t="s">
        <v>515</v>
      </c>
      <c r="K202" s="539">
        <v>12400</v>
      </c>
      <c r="L202" s="539">
        <v>11130</v>
      </c>
      <c r="M202" s="590">
        <f t="shared" si="2"/>
        <v>0.89758064516129032</v>
      </c>
      <c r="N202" s="539">
        <v>1270</v>
      </c>
      <c r="O202" s="590">
        <f t="shared" si="3"/>
        <v>0.10241935483870968</v>
      </c>
    </row>
    <row r="203" spans="6:15" x14ac:dyDescent="0.2">
      <c r="F203" s="589" t="s">
        <v>521</v>
      </c>
      <c r="H203" s="589" t="s">
        <v>630</v>
      </c>
      <c r="I203" s="589" t="s">
        <v>521</v>
      </c>
      <c r="K203" s="539">
        <v>55196</v>
      </c>
      <c r="L203" s="539">
        <v>52919</v>
      </c>
      <c r="M203" s="590">
        <f t="shared" si="2"/>
        <v>0.95874701065294587</v>
      </c>
      <c r="N203" s="539">
        <v>2277</v>
      </c>
      <c r="O203" s="590">
        <f t="shared" si="3"/>
        <v>4.1252989347054132E-2</v>
      </c>
    </row>
    <row r="204" spans="6:15" x14ac:dyDescent="0.2">
      <c r="F204" s="589" t="s">
        <v>554</v>
      </c>
      <c r="H204" s="589" t="s">
        <v>671</v>
      </c>
      <c r="I204" s="589" t="s">
        <v>554</v>
      </c>
      <c r="K204" s="539">
        <v>56136</v>
      </c>
      <c r="L204" s="539">
        <v>52993</v>
      </c>
      <c r="M204" s="590">
        <f t="shared" si="2"/>
        <v>0.94401097335043471</v>
      </c>
      <c r="N204" s="539">
        <v>3143</v>
      </c>
      <c r="O204" s="590">
        <f t="shared" si="3"/>
        <v>5.5989026649565343E-2</v>
      </c>
    </row>
    <row r="205" spans="6:15" x14ac:dyDescent="0.2">
      <c r="F205" s="589" t="s">
        <v>566</v>
      </c>
      <c r="H205" s="589" t="s">
        <v>684</v>
      </c>
      <c r="I205" s="589" t="s">
        <v>566</v>
      </c>
      <c r="K205" s="539">
        <v>1196</v>
      </c>
      <c r="L205" s="539">
        <v>1034</v>
      </c>
      <c r="M205" s="590">
        <f t="shared" si="2"/>
        <v>0.86454849498327757</v>
      </c>
      <c r="N205" s="539">
        <v>162</v>
      </c>
      <c r="O205" s="590">
        <f t="shared" si="3"/>
        <v>0.1354515050167224</v>
      </c>
    </row>
    <row r="206" spans="6:15" x14ac:dyDescent="0.2">
      <c r="F206" s="589" t="s">
        <v>601</v>
      </c>
      <c r="H206" s="589" t="s">
        <v>600</v>
      </c>
      <c r="I206" s="539" t="s">
        <v>601</v>
      </c>
      <c r="K206" s="539">
        <v>1588</v>
      </c>
      <c r="L206" s="539">
        <v>1345</v>
      </c>
      <c r="M206" s="590">
        <f t="shared" si="2"/>
        <v>0.84697732997481112</v>
      </c>
      <c r="N206" s="539">
        <v>243</v>
      </c>
      <c r="O206" s="590">
        <f t="shared" si="3"/>
        <v>0.15302267002518891</v>
      </c>
    </row>
    <row r="207" spans="6:15" x14ac:dyDescent="0.2">
      <c r="F207" s="589" t="s">
        <v>555</v>
      </c>
      <c r="H207" s="589" t="s">
        <v>672</v>
      </c>
      <c r="I207" s="539" t="s">
        <v>874</v>
      </c>
      <c r="K207" s="539">
        <v>1795</v>
      </c>
      <c r="L207" s="539">
        <v>1595</v>
      </c>
      <c r="M207" s="590">
        <f t="shared" si="2"/>
        <v>0.88857938718662954</v>
      </c>
      <c r="N207" s="539">
        <v>200</v>
      </c>
      <c r="O207" s="590">
        <f t="shared" si="3"/>
        <v>0.11142061281337047</v>
      </c>
    </row>
    <row r="208" spans="6:15" x14ac:dyDescent="0.2">
      <c r="F208" s="589" t="s">
        <v>539</v>
      </c>
      <c r="H208" s="589" t="s">
        <v>656</v>
      </c>
      <c r="I208" s="539" t="s">
        <v>890</v>
      </c>
      <c r="K208" s="539">
        <v>1201</v>
      </c>
      <c r="L208" s="539">
        <v>1037</v>
      </c>
      <c r="M208" s="590">
        <f t="shared" si="2"/>
        <v>0.86344712739383844</v>
      </c>
      <c r="N208" s="539">
        <v>164</v>
      </c>
      <c r="O208" s="590">
        <f t="shared" si="3"/>
        <v>0.13655287260616153</v>
      </c>
    </row>
    <row r="209" spans="6:15" x14ac:dyDescent="0.2">
      <c r="F209" s="589" t="s">
        <v>562</v>
      </c>
      <c r="H209" s="589" t="s">
        <v>679</v>
      </c>
      <c r="I209" s="539" t="s">
        <v>906</v>
      </c>
      <c r="K209" s="539">
        <v>3981</v>
      </c>
      <c r="L209" s="539">
        <v>3535</v>
      </c>
      <c r="M209" s="590">
        <f t="shared" si="2"/>
        <v>0.88796784727455413</v>
      </c>
      <c r="N209" s="539">
        <v>446</v>
      </c>
      <c r="O209" s="590">
        <f t="shared" si="3"/>
        <v>0.11203215272544587</v>
      </c>
    </row>
    <row r="210" spans="6:15" x14ac:dyDescent="0.2">
      <c r="F210" s="589" t="s">
        <v>567</v>
      </c>
      <c r="H210" s="589" t="s">
        <v>685</v>
      </c>
      <c r="I210" s="539" t="s">
        <v>892</v>
      </c>
      <c r="K210" s="539">
        <v>5364</v>
      </c>
      <c r="L210" s="539">
        <v>5102</v>
      </c>
      <c r="M210" s="590">
        <f t="shared" si="2"/>
        <v>0.95115585384041756</v>
      </c>
      <c r="N210" s="539">
        <v>262</v>
      </c>
      <c r="O210" s="590">
        <f t="shared" si="3"/>
        <v>4.8844146159582401E-2</v>
      </c>
    </row>
    <row r="211" spans="6:15" x14ac:dyDescent="0.2">
      <c r="F211" s="589" t="s">
        <v>568</v>
      </c>
      <c r="H211" s="589" t="s">
        <v>686</v>
      </c>
      <c r="I211" s="539" t="s">
        <v>892</v>
      </c>
      <c r="K211" s="539">
        <v>5364</v>
      </c>
      <c r="L211" s="539">
        <v>5102</v>
      </c>
      <c r="M211" s="590">
        <f t="shared" si="2"/>
        <v>0.95115585384041756</v>
      </c>
      <c r="N211" s="539">
        <v>262</v>
      </c>
      <c r="O211" s="590">
        <f t="shared" si="3"/>
        <v>4.8844146159582401E-2</v>
      </c>
    </row>
    <row r="212" spans="6:15" x14ac:dyDescent="0.2">
      <c r="F212" s="589" t="s">
        <v>522</v>
      </c>
      <c r="H212" s="589" t="s">
        <v>631</v>
      </c>
      <c r="I212" s="539" t="s">
        <v>886</v>
      </c>
      <c r="K212" s="539">
        <v>714</v>
      </c>
      <c r="L212" s="539">
        <v>673</v>
      </c>
      <c r="M212" s="590">
        <f t="shared" si="2"/>
        <v>0.94257703081232491</v>
      </c>
      <c r="N212" s="539">
        <v>41</v>
      </c>
      <c r="O212" s="590">
        <f t="shared" si="3"/>
        <v>5.7422969187675067E-2</v>
      </c>
    </row>
    <row r="213" spans="6:15" x14ac:dyDescent="0.2">
      <c r="F213" s="589" t="s">
        <v>503</v>
      </c>
      <c r="H213" s="589" t="s">
        <v>593</v>
      </c>
      <c r="I213" s="589" t="s">
        <v>503</v>
      </c>
      <c r="K213" s="539">
        <v>18220</v>
      </c>
      <c r="L213" s="539">
        <v>15805</v>
      </c>
      <c r="M213" s="590">
        <f t="shared" si="2"/>
        <v>0.86745334796926454</v>
      </c>
      <c r="N213" s="539">
        <v>2415</v>
      </c>
      <c r="O213" s="590">
        <f t="shared" si="3"/>
        <v>0.13254665203073546</v>
      </c>
    </row>
    <row r="214" spans="6:15" x14ac:dyDescent="0.2">
      <c r="F214" s="589" t="s">
        <v>556</v>
      </c>
      <c r="H214" s="589" t="s">
        <v>673</v>
      </c>
      <c r="I214" s="589" t="s">
        <v>556</v>
      </c>
      <c r="K214" s="539">
        <v>56136</v>
      </c>
      <c r="L214" s="539">
        <v>52993</v>
      </c>
      <c r="M214" s="590">
        <f t="shared" si="2"/>
        <v>0.94401097335043471</v>
      </c>
      <c r="N214" s="539">
        <v>3143</v>
      </c>
      <c r="O214" s="590">
        <f t="shared" si="3"/>
        <v>5.5989026649565343E-2</v>
      </c>
    </row>
    <row r="215" spans="6:15" x14ac:dyDescent="0.2">
      <c r="F215" s="589" t="s">
        <v>490</v>
      </c>
      <c r="H215" s="589" t="s">
        <v>580</v>
      </c>
      <c r="I215" s="539" t="s">
        <v>898</v>
      </c>
      <c r="K215" s="539">
        <v>3485</v>
      </c>
      <c r="L215" s="539">
        <v>3250</v>
      </c>
      <c r="M215" s="590">
        <f t="shared" si="2"/>
        <v>0.93256814921090392</v>
      </c>
      <c r="N215" s="539">
        <v>235</v>
      </c>
      <c r="O215" s="590">
        <f t="shared" si="3"/>
        <v>6.7431850789096123E-2</v>
      </c>
    </row>
    <row r="216" spans="6:15" x14ac:dyDescent="0.2">
      <c r="F216" s="589" t="s">
        <v>523</v>
      </c>
      <c r="H216" s="589" t="s">
        <v>632</v>
      </c>
      <c r="I216" s="589" t="s">
        <v>523</v>
      </c>
      <c r="K216" s="539">
        <v>55196</v>
      </c>
      <c r="L216" s="539">
        <v>52919</v>
      </c>
      <c r="M216" s="590">
        <f t="shared" si="2"/>
        <v>0.95874701065294587</v>
      </c>
      <c r="N216" s="539">
        <v>2277</v>
      </c>
      <c r="O216" s="590">
        <f t="shared" si="3"/>
        <v>4.1252989347054132E-2</v>
      </c>
    </row>
    <row r="217" spans="6:15" x14ac:dyDescent="0.2">
      <c r="F217" s="589" t="s">
        <v>575</v>
      </c>
      <c r="H217" s="589" t="s">
        <v>695</v>
      </c>
      <c r="I217" s="539" t="s">
        <v>896</v>
      </c>
      <c r="K217" s="539">
        <v>6923</v>
      </c>
      <c r="L217" s="539">
        <v>6171</v>
      </c>
      <c r="M217" s="590">
        <f t="shared" si="2"/>
        <v>0.89137657085078725</v>
      </c>
      <c r="N217" s="539">
        <v>752</v>
      </c>
      <c r="O217" s="590">
        <f t="shared" si="3"/>
        <v>0.10862342914921277</v>
      </c>
    </row>
    <row r="218" spans="6:15" x14ac:dyDescent="0.2">
      <c r="F218" s="589" t="s">
        <v>603</v>
      </c>
      <c r="H218" s="589" t="s">
        <v>602</v>
      </c>
      <c r="I218" s="539" t="s">
        <v>877</v>
      </c>
      <c r="K218" s="539">
        <v>1092</v>
      </c>
      <c r="L218" s="539">
        <v>799</v>
      </c>
      <c r="M218" s="590">
        <f t="shared" si="2"/>
        <v>0.73168498168498164</v>
      </c>
      <c r="N218" s="539">
        <v>293</v>
      </c>
      <c r="O218" s="590">
        <f t="shared" si="3"/>
        <v>0.26831501831501831</v>
      </c>
    </row>
    <row r="219" spans="6:15" x14ac:dyDescent="0.2">
      <c r="F219" s="589" t="s">
        <v>609</v>
      </c>
      <c r="H219" s="589" t="s">
        <v>608</v>
      </c>
      <c r="I219" s="539" t="s">
        <v>609</v>
      </c>
      <c r="K219" s="539">
        <v>876</v>
      </c>
      <c r="L219" s="539">
        <v>723</v>
      </c>
      <c r="M219" s="590">
        <f t="shared" si="2"/>
        <v>0.82534246575342463</v>
      </c>
      <c r="N219" s="539">
        <v>153</v>
      </c>
      <c r="O219" s="590">
        <f t="shared" si="3"/>
        <v>0.17465753424657535</v>
      </c>
    </row>
  </sheetData>
  <mergeCells count="14">
    <mergeCell ref="B10:F10"/>
    <mergeCell ref="G10:I12"/>
    <mergeCell ref="B11:F15"/>
    <mergeCell ref="G13:I13"/>
    <mergeCell ref="G14:I14"/>
    <mergeCell ref="G15:I15"/>
    <mergeCell ref="M8:N8"/>
    <mergeCell ref="O8:P8"/>
    <mergeCell ref="M6:R6"/>
    <mergeCell ref="C6:D6"/>
    <mergeCell ref="G6:I9"/>
    <mergeCell ref="C7:D7"/>
    <mergeCell ref="C8:D8"/>
    <mergeCell ref="C9:D9"/>
  </mergeCells>
  <pageMargins left="0.7" right="0.7" top="0.75" bottom="0.75" header="0.3" footer="0.3"/>
  <pageSetup paperSize="9" scale="83" orientation="portrait" horizontalDpi="4294967295" verticalDpi="4294967295" r:id="rId1"/>
  <colBreaks count="2" manualBreakCount="2">
    <brk id="9" min="5" max="14" man="1"/>
    <brk id="10" min="5" max="1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220"/>
  <sheetViews>
    <sheetView topLeftCell="A4" zoomScaleNormal="100" zoomScaleSheetLayoutView="90" workbookViewId="0">
      <pane xSplit="4" ySplit="4" topLeftCell="E179" activePane="bottomRight" state="frozen"/>
      <selection activeCell="A4" sqref="A4"/>
      <selection pane="topRight" activeCell="E4" sqref="E4"/>
      <selection pane="bottomLeft" activeCell="A8" sqref="A8"/>
      <selection pane="bottomRight" activeCell="D222" sqref="D222"/>
    </sheetView>
  </sheetViews>
  <sheetFormatPr baseColWidth="10" defaultColWidth="11.42578125" defaultRowHeight="12.75" x14ac:dyDescent="0.2"/>
  <cols>
    <col min="1" max="1" width="73.85546875" style="27" customWidth="1"/>
    <col min="2" max="2" width="8.85546875" style="27" customWidth="1"/>
    <col min="3" max="3" width="11.42578125" style="27" customWidth="1"/>
    <col min="4" max="4" width="11.42578125" style="28"/>
    <col min="5" max="9" width="11.7109375" style="27" customWidth="1"/>
    <col min="10" max="10" width="12.28515625" style="27" customWidth="1"/>
    <col min="11" max="32" width="11.7109375" style="27" customWidth="1"/>
    <col min="33" max="47" width="11.42578125" style="27"/>
    <col min="48" max="48" width="11.42578125" style="27" customWidth="1"/>
    <col min="49" max="16384" width="11.42578125" style="27"/>
  </cols>
  <sheetData>
    <row r="1" spans="1:138" ht="12.75" hidden="1" customHeight="1" x14ac:dyDescent="0.5">
      <c r="A1" s="29"/>
      <c r="B1" s="29"/>
      <c r="C1" s="29"/>
    </row>
    <row r="2" spans="1:138" ht="15" customHeight="1" x14ac:dyDescent="0.5">
      <c r="A2" s="29"/>
      <c r="B2" s="29"/>
      <c r="C2" s="29"/>
    </row>
    <row r="3" spans="1:138" s="91" customFormat="1" ht="39" customHeight="1" thickBot="1" x14ac:dyDescent="0.25">
      <c r="A3" s="826" t="s">
        <v>209</v>
      </c>
      <c r="B3" s="826"/>
      <c r="C3" s="826"/>
      <c r="D3" s="826"/>
      <c r="E3" s="826"/>
      <c r="F3" s="826"/>
      <c r="G3" s="826"/>
      <c r="H3" s="826"/>
      <c r="I3" s="826"/>
      <c r="J3" s="826"/>
      <c r="K3" s="826"/>
      <c r="L3" s="826"/>
      <c r="M3" s="826"/>
      <c r="N3" s="826"/>
      <c r="O3" s="826"/>
      <c r="P3" s="826"/>
      <c r="Q3" s="826"/>
      <c r="R3" s="826"/>
      <c r="S3" s="826"/>
      <c r="T3" s="826"/>
      <c r="U3" s="826"/>
      <c r="V3" s="826"/>
      <c r="W3" s="826"/>
      <c r="X3" s="826"/>
      <c r="Y3" s="826"/>
      <c r="Z3" s="826"/>
      <c r="AA3" s="826"/>
      <c r="AB3" s="826"/>
      <c r="AC3" s="826"/>
      <c r="AD3" s="826"/>
      <c r="AE3" s="826"/>
      <c r="AF3" s="826"/>
      <c r="AG3" s="826"/>
      <c r="AH3" s="826"/>
      <c r="AI3" s="826"/>
      <c r="AJ3" s="826"/>
      <c r="AK3" s="826"/>
      <c r="AL3" s="826"/>
      <c r="AM3" s="826"/>
      <c r="AN3" s="826"/>
      <c r="AO3" s="826"/>
      <c r="AP3" s="826"/>
      <c r="AQ3" s="826"/>
      <c r="AR3" s="826"/>
      <c r="AS3" s="826"/>
      <c r="AT3" s="826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</row>
    <row r="4" spans="1:138" s="36" customFormat="1" ht="48.75" customHeight="1" thickBot="1" x14ac:dyDescent="0.25">
      <c r="A4" s="30"/>
      <c r="B4" s="31"/>
      <c r="C4" s="32" t="s">
        <v>210</v>
      </c>
      <c r="D4" s="33">
        <v>0</v>
      </c>
      <c r="E4" s="827" t="s">
        <v>211</v>
      </c>
      <c r="F4" s="827"/>
      <c r="G4" s="827"/>
      <c r="H4" s="827"/>
      <c r="I4" s="827"/>
      <c r="J4" s="827"/>
      <c r="K4" s="827"/>
      <c r="L4" s="827"/>
      <c r="M4" s="827"/>
      <c r="N4" s="827"/>
      <c r="O4" s="452"/>
      <c r="P4" s="452"/>
      <c r="Q4" s="827" t="s">
        <v>110</v>
      </c>
      <c r="R4" s="827"/>
      <c r="S4" s="827"/>
      <c r="T4" s="827"/>
      <c r="U4" s="827"/>
      <c r="V4" s="827"/>
      <c r="W4" s="827"/>
      <c r="X4" s="827"/>
      <c r="Y4" s="827"/>
      <c r="Z4" s="827"/>
      <c r="AA4" s="34"/>
      <c r="AB4" s="35"/>
      <c r="AC4" s="35"/>
      <c r="AD4" s="35"/>
      <c r="AE4" s="827" t="s">
        <v>117</v>
      </c>
      <c r="AF4" s="827"/>
      <c r="AG4" s="828" t="s">
        <v>212</v>
      </c>
      <c r="AH4" s="828"/>
      <c r="AI4" s="828"/>
      <c r="AJ4" s="828"/>
      <c r="AK4" s="828"/>
      <c r="AL4" s="828"/>
      <c r="AM4" s="828"/>
      <c r="AN4" s="828"/>
      <c r="AO4" s="828"/>
      <c r="AP4" s="828"/>
      <c r="AQ4" s="828"/>
      <c r="AR4" s="828"/>
      <c r="AS4" s="829"/>
      <c r="AT4" s="829"/>
    </row>
    <row r="5" spans="1:138" s="37" customFormat="1" ht="48.75" customHeight="1" thickBot="1" x14ac:dyDescent="0.25">
      <c r="A5" s="830" t="s">
        <v>213</v>
      </c>
      <c r="B5" s="830" t="s">
        <v>53</v>
      </c>
      <c r="C5" s="533"/>
      <c r="D5" s="831" t="s">
        <v>214</v>
      </c>
      <c r="E5" s="830" t="s">
        <v>989</v>
      </c>
      <c r="F5" s="830"/>
      <c r="G5" s="830" t="s">
        <v>992</v>
      </c>
      <c r="H5" s="830"/>
      <c r="I5" s="830" t="s">
        <v>998</v>
      </c>
      <c r="J5" s="830"/>
      <c r="K5" s="830" t="s">
        <v>999</v>
      </c>
      <c r="L5" s="830"/>
      <c r="M5" s="830" t="s">
        <v>995</v>
      </c>
      <c r="N5" s="830"/>
      <c r="O5" s="830" t="s">
        <v>996</v>
      </c>
      <c r="P5" s="830"/>
      <c r="Q5" s="830" t="s">
        <v>111</v>
      </c>
      <c r="R5" s="830"/>
      <c r="S5" s="830" t="s">
        <v>215</v>
      </c>
      <c r="T5" s="830"/>
      <c r="U5" s="830" t="s">
        <v>216</v>
      </c>
      <c r="V5" s="830"/>
      <c r="W5" s="830" t="s">
        <v>217</v>
      </c>
      <c r="X5" s="830"/>
      <c r="Y5" s="830" t="s">
        <v>218</v>
      </c>
      <c r="Z5" s="830"/>
      <c r="AA5" s="831" t="s">
        <v>1031</v>
      </c>
      <c r="AB5" s="831"/>
      <c r="AC5" s="831" t="s">
        <v>1030</v>
      </c>
      <c r="AD5" s="831"/>
      <c r="AE5" s="830" t="s">
        <v>219</v>
      </c>
      <c r="AF5" s="830"/>
      <c r="AG5" s="832" t="s">
        <v>947</v>
      </c>
      <c r="AH5" s="832"/>
      <c r="AI5" s="832" t="s">
        <v>948</v>
      </c>
      <c r="AJ5" s="832"/>
      <c r="AK5" s="832" t="s">
        <v>949</v>
      </c>
      <c r="AL5" s="832"/>
      <c r="AM5" s="832" t="s">
        <v>950</v>
      </c>
      <c r="AN5" s="832"/>
      <c r="AO5" s="832" t="s">
        <v>221</v>
      </c>
      <c r="AP5" s="832"/>
      <c r="AQ5" s="832" t="s">
        <v>222</v>
      </c>
      <c r="AR5" s="832"/>
      <c r="AS5" s="832" t="s">
        <v>223</v>
      </c>
      <c r="AT5" s="832"/>
      <c r="AU5" s="825" t="s">
        <v>789</v>
      </c>
      <c r="AV5" s="825"/>
      <c r="AW5" s="825" t="s">
        <v>846</v>
      </c>
      <c r="AX5" s="825"/>
      <c r="AY5" s="825" t="s">
        <v>847</v>
      </c>
      <c r="AZ5" s="825"/>
      <c r="BA5" s="825" t="s">
        <v>848</v>
      </c>
      <c r="BB5" s="825"/>
      <c r="BC5" s="825" t="s">
        <v>849</v>
      </c>
      <c r="BD5" s="825"/>
      <c r="BE5" s="825" t="s">
        <v>850</v>
      </c>
      <c r="BF5" s="825"/>
      <c r="BG5" s="825" t="s">
        <v>851</v>
      </c>
      <c r="BH5" s="825"/>
    </row>
    <row r="6" spans="1:138" s="37" customFormat="1" ht="30" customHeight="1" thickBot="1" x14ac:dyDescent="0.25">
      <c r="A6" s="830"/>
      <c r="B6" s="830"/>
      <c r="C6" s="533"/>
      <c r="D6" s="831"/>
      <c r="E6" s="38" t="s">
        <v>54</v>
      </c>
      <c r="F6" s="38" t="s">
        <v>224</v>
      </c>
      <c r="G6" s="38" t="s">
        <v>54</v>
      </c>
      <c r="H6" s="38" t="s">
        <v>224</v>
      </c>
      <c r="I6" s="38" t="s">
        <v>54</v>
      </c>
      <c r="J6" s="38" t="s">
        <v>224</v>
      </c>
      <c r="K6" s="38" t="s">
        <v>54</v>
      </c>
      <c r="L6" s="38" t="s">
        <v>224</v>
      </c>
      <c r="M6" s="38" t="s">
        <v>54</v>
      </c>
      <c r="N6" s="38" t="s">
        <v>224</v>
      </c>
      <c r="O6" s="38" t="s">
        <v>54</v>
      </c>
      <c r="P6" s="38" t="s">
        <v>224</v>
      </c>
      <c r="Q6" s="38" t="s">
        <v>54</v>
      </c>
      <c r="R6" s="38" t="s">
        <v>224</v>
      </c>
      <c r="S6" s="38" t="s">
        <v>54</v>
      </c>
      <c r="T6" s="38" t="s">
        <v>224</v>
      </c>
      <c r="U6" s="38" t="s">
        <v>54</v>
      </c>
      <c r="V6" s="38" t="s">
        <v>224</v>
      </c>
      <c r="W6" s="38" t="s">
        <v>54</v>
      </c>
      <c r="X6" s="38" t="s">
        <v>224</v>
      </c>
      <c r="Y6" s="38" t="s">
        <v>54</v>
      </c>
      <c r="Z6" s="38" t="s">
        <v>224</v>
      </c>
      <c r="AA6" s="38" t="s">
        <v>54</v>
      </c>
      <c r="AB6" s="38" t="s">
        <v>224</v>
      </c>
      <c r="AC6" s="38"/>
      <c r="AD6" s="38"/>
      <c r="AE6" s="38" t="s">
        <v>54</v>
      </c>
      <c r="AF6" s="39" t="s">
        <v>225</v>
      </c>
      <c r="AG6" s="38" t="s">
        <v>54</v>
      </c>
      <c r="AH6" s="38" t="s">
        <v>224</v>
      </c>
      <c r="AI6" s="38" t="s">
        <v>54</v>
      </c>
      <c r="AJ6" s="38" t="s">
        <v>224</v>
      </c>
      <c r="AK6" s="38"/>
      <c r="AL6" s="38"/>
      <c r="AM6" s="38"/>
      <c r="AN6" s="38"/>
      <c r="AO6" s="38" t="s">
        <v>54</v>
      </c>
      <c r="AP6" s="38" t="s">
        <v>224</v>
      </c>
      <c r="AQ6" s="38"/>
      <c r="AR6" s="38"/>
      <c r="AS6" s="38" t="s">
        <v>54</v>
      </c>
      <c r="AT6" s="38" t="s">
        <v>224</v>
      </c>
      <c r="AU6" s="228" t="s">
        <v>54</v>
      </c>
      <c r="AV6" s="228" t="s">
        <v>224</v>
      </c>
    </row>
    <row r="7" spans="1:138" s="46" customFormat="1" ht="18" customHeight="1" thickBot="1" x14ac:dyDescent="0.25">
      <c r="A7" s="40"/>
      <c r="B7" s="41"/>
      <c r="C7" s="41"/>
      <c r="D7" s="42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4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5"/>
    </row>
    <row r="8" spans="1:138" s="465" customFormat="1" ht="15" customHeight="1" x14ac:dyDescent="0.2">
      <c r="A8" s="462" t="s">
        <v>226</v>
      </c>
      <c r="B8" s="463"/>
      <c r="C8" s="464"/>
      <c r="D8" s="464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</row>
    <row r="9" spans="1:138" ht="15" customHeight="1" x14ac:dyDescent="0.2">
      <c r="A9" s="47" t="s">
        <v>1055</v>
      </c>
      <c r="B9" s="48" t="s">
        <v>227</v>
      </c>
      <c r="C9" s="149">
        <v>1166.8860862680499</v>
      </c>
      <c r="D9" s="49">
        <f t="shared" ref="D9:D38" si="0">ROUND((C9*(1+D$4)),2)</f>
        <v>1166.8900000000001</v>
      </c>
      <c r="E9" s="50"/>
      <c r="F9" s="50">
        <f t="shared" ref="F9:F38" si="1">+D9*E9</f>
        <v>0</v>
      </c>
      <c r="G9" s="50"/>
      <c r="H9" s="50">
        <f t="shared" ref="H9:H38" si="2">+D9*G9</f>
        <v>0</v>
      </c>
      <c r="I9" s="50"/>
      <c r="J9" s="50">
        <f t="shared" ref="J9:J38" si="3">+D9*I9</f>
        <v>0</v>
      </c>
      <c r="K9" s="50"/>
      <c r="L9" s="50">
        <f t="shared" ref="L9:L38" si="4">+D9*K9</f>
        <v>0</v>
      </c>
      <c r="M9" s="50"/>
      <c r="N9" s="50">
        <f t="shared" ref="N9:N38" si="5">+D9*M9</f>
        <v>0</v>
      </c>
      <c r="O9" s="50"/>
      <c r="P9" s="50"/>
      <c r="Q9" s="50"/>
      <c r="R9" s="50">
        <f t="shared" ref="R9:R38" si="6">+D9*Q9</f>
        <v>0</v>
      </c>
      <c r="S9" s="50"/>
      <c r="T9" s="50">
        <f t="shared" ref="T9:T38" si="7">+D9*S9</f>
        <v>0</v>
      </c>
      <c r="U9" s="50"/>
      <c r="V9" s="50">
        <f t="shared" ref="V9:V38" si="8">+D9*U9</f>
        <v>0</v>
      </c>
      <c r="W9" s="50"/>
      <c r="X9" s="50">
        <f t="shared" ref="X9:X16" si="9">+D9*W9</f>
        <v>0</v>
      </c>
      <c r="Y9" s="50"/>
      <c r="Z9" s="50">
        <f t="shared" ref="Z9:Z16" si="10">+D9*Y9</f>
        <v>0</v>
      </c>
      <c r="AA9" s="50"/>
      <c r="AB9" s="50">
        <f t="shared" ref="AB9:AB16" si="11">+D9*AA9</f>
        <v>0</v>
      </c>
      <c r="AC9" s="50"/>
      <c r="AD9" s="50"/>
      <c r="AE9" s="50"/>
      <c r="AF9" s="50">
        <f t="shared" ref="AF9:AF16" si="12">+D9*AE9</f>
        <v>0</v>
      </c>
      <c r="AG9" s="50"/>
      <c r="AH9" s="50">
        <f t="shared" ref="AH9:AH16" si="13">+D9*AG9</f>
        <v>0</v>
      </c>
      <c r="AI9" s="50"/>
      <c r="AJ9" s="50">
        <f t="shared" ref="AJ9:AJ16" si="14">+D9*AI9</f>
        <v>0</v>
      </c>
      <c r="AK9" s="50"/>
      <c r="AL9" s="50">
        <f t="shared" ref="AL9:AL16" si="15">D9*AK9</f>
        <v>0</v>
      </c>
      <c r="AM9" s="50"/>
      <c r="AN9" s="50">
        <f t="shared" ref="AN9:AN16" si="16">D9*AM9</f>
        <v>0</v>
      </c>
      <c r="AO9" s="50"/>
      <c r="AP9" s="50">
        <f t="shared" ref="AP9:AP16" si="17">+D9*AO9</f>
        <v>0</v>
      </c>
      <c r="AQ9" s="50"/>
      <c r="AR9" s="50">
        <f t="shared" ref="AR9:AR16" si="18">+AQ9*D9</f>
        <v>0</v>
      </c>
      <c r="AS9" s="50"/>
      <c r="AT9" s="50">
        <f t="shared" ref="AT9:AT16" si="19">+D9*AS9</f>
        <v>0</v>
      </c>
      <c r="AV9" s="27">
        <f t="shared" ref="AV9:AV16" si="20">D9*AU9</f>
        <v>0</v>
      </c>
      <c r="AW9" s="27">
        <v>1</v>
      </c>
      <c r="AX9" s="27">
        <f>$D$9*AW9</f>
        <v>1166.8900000000001</v>
      </c>
    </row>
    <row r="10" spans="1:138" ht="15" customHeight="1" x14ac:dyDescent="0.2">
      <c r="A10" s="47" t="s">
        <v>1056</v>
      </c>
      <c r="B10" s="48" t="s">
        <v>227</v>
      </c>
      <c r="C10" s="149">
        <v>1382.3890209611477</v>
      </c>
      <c r="D10" s="49">
        <f t="shared" si="0"/>
        <v>1382.39</v>
      </c>
      <c r="E10" s="50"/>
      <c r="F10" s="50">
        <f t="shared" si="1"/>
        <v>0</v>
      </c>
      <c r="G10" s="50"/>
      <c r="H10" s="50">
        <f t="shared" si="2"/>
        <v>0</v>
      </c>
      <c r="I10" s="50"/>
      <c r="J10" s="50">
        <f t="shared" si="3"/>
        <v>0</v>
      </c>
      <c r="K10" s="50"/>
      <c r="L10" s="50">
        <f t="shared" si="4"/>
        <v>0</v>
      </c>
      <c r="M10" s="50"/>
      <c r="N10" s="50">
        <f t="shared" si="5"/>
        <v>0</v>
      </c>
      <c r="O10" s="50"/>
      <c r="P10" s="50"/>
      <c r="Q10" s="50"/>
      <c r="R10" s="50">
        <f t="shared" si="6"/>
        <v>0</v>
      </c>
      <c r="S10" s="50"/>
      <c r="T10" s="50">
        <f t="shared" si="7"/>
        <v>0</v>
      </c>
      <c r="U10" s="50"/>
      <c r="V10" s="50">
        <f t="shared" si="8"/>
        <v>0</v>
      </c>
      <c r="W10" s="50"/>
      <c r="X10" s="50">
        <f t="shared" si="9"/>
        <v>0</v>
      </c>
      <c r="Y10" s="50"/>
      <c r="Z10" s="50">
        <f t="shared" si="10"/>
        <v>0</v>
      </c>
      <c r="AA10" s="50"/>
      <c r="AB10" s="50">
        <f t="shared" si="11"/>
        <v>0</v>
      </c>
      <c r="AC10" s="50"/>
      <c r="AD10" s="50"/>
      <c r="AE10" s="50"/>
      <c r="AF10" s="50">
        <f t="shared" si="12"/>
        <v>0</v>
      </c>
      <c r="AG10" s="50"/>
      <c r="AH10" s="50">
        <f t="shared" si="13"/>
        <v>0</v>
      </c>
      <c r="AI10" s="50"/>
      <c r="AJ10" s="50">
        <f t="shared" si="14"/>
        <v>0</v>
      </c>
      <c r="AK10" s="50"/>
      <c r="AL10" s="50">
        <f t="shared" si="15"/>
        <v>0</v>
      </c>
      <c r="AM10" s="50"/>
      <c r="AN10" s="50">
        <f t="shared" si="16"/>
        <v>0</v>
      </c>
      <c r="AO10" s="50"/>
      <c r="AP10" s="50">
        <f t="shared" si="17"/>
        <v>0</v>
      </c>
      <c r="AQ10" s="50"/>
      <c r="AR10" s="50">
        <f t="shared" si="18"/>
        <v>0</v>
      </c>
      <c r="AS10" s="50"/>
      <c r="AT10" s="50">
        <f t="shared" si="19"/>
        <v>0</v>
      </c>
      <c r="AV10" s="27">
        <f t="shared" si="20"/>
        <v>0</v>
      </c>
      <c r="AY10" s="27">
        <v>1</v>
      </c>
      <c r="AZ10" s="27">
        <f>$D$10*AY10</f>
        <v>1382.39</v>
      </c>
    </row>
    <row r="11" spans="1:138" x14ac:dyDescent="0.2">
      <c r="A11" s="47" t="s">
        <v>1057</v>
      </c>
      <c r="B11" s="48" t="s">
        <v>227</v>
      </c>
      <c r="C11" s="149">
        <v>1562.7707916910258</v>
      </c>
      <c r="D11" s="49">
        <f t="shared" si="0"/>
        <v>1562.77</v>
      </c>
      <c r="E11" s="50"/>
      <c r="F11" s="50">
        <f t="shared" si="1"/>
        <v>0</v>
      </c>
      <c r="G11" s="50"/>
      <c r="H11" s="50">
        <f t="shared" si="2"/>
        <v>0</v>
      </c>
      <c r="I11" s="50"/>
      <c r="J11" s="50">
        <f t="shared" si="3"/>
        <v>0</v>
      </c>
      <c r="K11" s="50"/>
      <c r="L11" s="50">
        <f t="shared" si="4"/>
        <v>0</v>
      </c>
      <c r="M11" s="50"/>
      <c r="N11" s="50">
        <f t="shared" si="5"/>
        <v>0</v>
      </c>
      <c r="O11" s="50"/>
      <c r="P11" s="50"/>
      <c r="Q11" s="50"/>
      <c r="R11" s="50">
        <f t="shared" si="6"/>
        <v>0</v>
      </c>
      <c r="S11" s="50"/>
      <c r="T11" s="50">
        <f t="shared" si="7"/>
        <v>0</v>
      </c>
      <c r="U11" s="50"/>
      <c r="V11" s="50">
        <f t="shared" si="8"/>
        <v>0</v>
      </c>
      <c r="W11" s="50"/>
      <c r="X11" s="50">
        <f t="shared" si="9"/>
        <v>0</v>
      </c>
      <c r="Y11" s="50"/>
      <c r="Z11" s="50">
        <f t="shared" si="10"/>
        <v>0</v>
      </c>
      <c r="AA11" s="50"/>
      <c r="AB11" s="50">
        <f t="shared" si="11"/>
        <v>0</v>
      </c>
      <c r="AC11" s="50"/>
      <c r="AD11" s="50"/>
      <c r="AE11" s="50"/>
      <c r="AF11" s="50">
        <f t="shared" si="12"/>
        <v>0</v>
      </c>
      <c r="AG11" s="50"/>
      <c r="AH11" s="50">
        <f t="shared" si="13"/>
        <v>0</v>
      </c>
      <c r="AI11" s="50"/>
      <c r="AJ11" s="50">
        <f t="shared" si="14"/>
        <v>0</v>
      </c>
      <c r="AK11" s="50"/>
      <c r="AL11" s="50">
        <f t="shared" si="15"/>
        <v>0</v>
      </c>
      <c r="AM11" s="50"/>
      <c r="AN11" s="50">
        <f t="shared" si="16"/>
        <v>0</v>
      </c>
      <c r="AO11" s="50"/>
      <c r="AP11" s="50">
        <f t="shared" si="17"/>
        <v>0</v>
      </c>
      <c r="AQ11" s="50"/>
      <c r="AR11" s="50">
        <f t="shared" si="18"/>
        <v>0</v>
      </c>
      <c r="AS11" s="50"/>
      <c r="AT11" s="50">
        <f t="shared" si="19"/>
        <v>0</v>
      </c>
      <c r="AV11" s="27">
        <f t="shared" si="20"/>
        <v>0</v>
      </c>
      <c r="BA11" s="27">
        <v>1</v>
      </c>
      <c r="BB11" s="27">
        <f>$D$11*BA11</f>
        <v>1562.77</v>
      </c>
    </row>
    <row r="12" spans="1:138" ht="15" customHeight="1" x14ac:dyDescent="0.2">
      <c r="A12" s="47" t="s">
        <v>1058</v>
      </c>
      <c r="B12" s="48" t="s">
        <v>227</v>
      </c>
      <c r="C12" s="149">
        <v>2236.8130787085506</v>
      </c>
      <c r="D12" s="49">
        <f t="shared" si="0"/>
        <v>2236.81</v>
      </c>
      <c r="E12" s="50"/>
      <c r="F12" s="50">
        <f t="shared" si="1"/>
        <v>0</v>
      </c>
      <c r="G12" s="50"/>
      <c r="H12" s="50">
        <f t="shared" si="2"/>
        <v>0</v>
      </c>
      <c r="I12" s="50"/>
      <c r="J12" s="50">
        <f t="shared" si="3"/>
        <v>0</v>
      </c>
      <c r="K12" s="50"/>
      <c r="L12" s="50">
        <f t="shared" si="4"/>
        <v>0</v>
      </c>
      <c r="M12" s="50"/>
      <c r="N12" s="50">
        <f t="shared" si="5"/>
        <v>0</v>
      </c>
      <c r="O12" s="50"/>
      <c r="P12" s="50"/>
      <c r="Q12" s="50"/>
      <c r="R12" s="50">
        <f t="shared" si="6"/>
        <v>0</v>
      </c>
      <c r="S12" s="50"/>
      <c r="T12" s="50">
        <f t="shared" si="7"/>
        <v>0</v>
      </c>
      <c r="U12" s="50"/>
      <c r="V12" s="50">
        <f t="shared" si="8"/>
        <v>0</v>
      </c>
      <c r="W12" s="50"/>
      <c r="X12" s="50">
        <f t="shared" si="9"/>
        <v>0</v>
      </c>
      <c r="Y12" s="50"/>
      <c r="Z12" s="50">
        <f t="shared" si="10"/>
        <v>0</v>
      </c>
      <c r="AA12" s="50"/>
      <c r="AB12" s="50">
        <f t="shared" si="11"/>
        <v>0</v>
      </c>
      <c r="AC12" s="50"/>
      <c r="AD12" s="50"/>
      <c r="AE12" s="50"/>
      <c r="AF12" s="50">
        <f t="shared" si="12"/>
        <v>0</v>
      </c>
      <c r="AG12" s="50"/>
      <c r="AH12" s="50">
        <f t="shared" si="13"/>
        <v>0</v>
      </c>
      <c r="AI12" s="50"/>
      <c r="AJ12" s="50">
        <f t="shared" si="14"/>
        <v>0</v>
      </c>
      <c r="AK12" s="50"/>
      <c r="AL12" s="50">
        <f t="shared" si="15"/>
        <v>0</v>
      </c>
      <c r="AM12" s="50"/>
      <c r="AN12" s="50">
        <f t="shared" si="16"/>
        <v>0</v>
      </c>
      <c r="AO12" s="50"/>
      <c r="AP12" s="50">
        <f t="shared" si="17"/>
        <v>0</v>
      </c>
      <c r="AQ12" s="50"/>
      <c r="AR12" s="50">
        <f t="shared" si="18"/>
        <v>0</v>
      </c>
      <c r="AS12" s="50"/>
      <c r="AT12" s="50">
        <f t="shared" si="19"/>
        <v>0</v>
      </c>
      <c r="AV12" s="27">
        <f t="shared" si="20"/>
        <v>0</v>
      </c>
      <c r="BC12" s="27">
        <v>1</v>
      </c>
      <c r="BD12" s="27">
        <f>$D$12*BC12</f>
        <v>2236.81</v>
      </c>
    </row>
    <row r="13" spans="1:138" x14ac:dyDescent="0.2">
      <c r="A13" s="47" t="s">
        <v>1059</v>
      </c>
      <c r="B13" s="48" t="s">
        <v>227</v>
      </c>
      <c r="C13" s="149">
        <v>2557.5309397385045</v>
      </c>
      <c r="D13" s="49">
        <f t="shared" si="0"/>
        <v>2557.5300000000002</v>
      </c>
      <c r="E13" s="50"/>
      <c r="F13" s="50">
        <f t="shared" si="1"/>
        <v>0</v>
      </c>
      <c r="G13" s="50"/>
      <c r="H13" s="50">
        <f t="shared" si="2"/>
        <v>0</v>
      </c>
      <c r="I13" s="50"/>
      <c r="J13" s="50">
        <f t="shared" si="3"/>
        <v>0</v>
      </c>
      <c r="K13" s="50"/>
      <c r="L13" s="50">
        <f t="shared" si="4"/>
        <v>0</v>
      </c>
      <c r="M13" s="50"/>
      <c r="N13" s="50">
        <f t="shared" si="5"/>
        <v>0</v>
      </c>
      <c r="O13" s="50"/>
      <c r="P13" s="50"/>
      <c r="Q13" s="50"/>
      <c r="R13" s="50">
        <f t="shared" si="6"/>
        <v>0</v>
      </c>
      <c r="S13" s="50"/>
      <c r="T13" s="50">
        <f t="shared" si="7"/>
        <v>0</v>
      </c>
      <c r="U13" s="50"/>
      <c r="V13" s="50">
        <f t="shared" si="8"/>
        <v>0</v>
      </c>
      <c r="W13" s="50"/>
      <c r="X13" s="50">
        <f t="shared" si="9"/>
        <v>0</v>
      </c>
      <c r="Y13" s="50"/>
      <c r="Z13" s="50">
        <f t="shared" si="10"/>
        <v>0</v>
      </c>
      <c r="AA13" s="50"/>
      <c r="AB13" s="50">
        <f t="shared" si="11"/>
        <v>0</v>
      </c>
      <c r="AC13" s="50"/>
      <c r="AD13" s="50"/>
      <c r="AE13" s="50"/>
      <c r="AF13" s="50">
        <f t="shared" si="12"/>
        <v>0</v>
      </c>
      <c r="AG13" s="50"/>
      <c r="AH13" s="50">
        <f t="shared" si="13"/>
        <v>0</v>
      </c>
      <c r="AI13" s="50"/>
      <c r="AJ13" s="50">
        <f t="shared" si="14"/>
        <v>0</v>
      </c>
      <c r="AK13" s="50"/>
      <c r="AL13" s="50">
        <f t="shared" si="15"/>
        <v>0</v>
      </c>
      <c r="AM13" s="50"/>
      <c r="AN13" s="50">
        <f t="shared" si="16"/>
        <v>0</v>
      </c>
      <c r="AO13" s="50"/>
      <c r="AP13" s="50">
        <f t="shared" si="17"/>
        <v>0</v>
      </c>
      <c r="AQ13" s="50"/>
      <c r="AR13" s="50">
        <f t="shared" si="18"/>
        <v>0</v>
      </c>
      <c r="AS13" s="50"/>
      <c r="AT13" s="50">
        <f t="shared" si="19"/>
        <v>0</v>
      </c>
      <c r="AV13" s="27">
        <f t="shared" si="20"/>
        <v>0</v>
      </c>
      <c r="BE13" s="27">
        <v>1</v>
      </c>
      <c r="BF13" s="27">
        <f>$D$13*BE13</f>
        <v>2557.5300000000002</v>
      </c>
    </row>
    <row r="14" spans="1:138" ht="15" customHeight="1" x14ac:dyDescent="0.2">
      <c r="A14" s="47" t="s">
        <v>1060</v>
      </c>
      <c r="B14" s="48" t="s">
        <v>227</v>
      </c>
      <c r="C14" s="149">
        <v>2882.463779338912</v>
      </c>
      <c r="D14" s="49">
        <f t="shared" si="0"/>
        <v>2882.46</v>
      </c>
      <c r="E14" s="50"/>
      <c r="F14" s="50">
        <f t="shared" si="1"/>
        <v>0</v>
      </c>
      <c r="G14" s="50"/>
      <c r="H14" s="50">
        <f t="shared" si="2"/>
        <v>0</v>
      </c>
      <c r="I14" s="50"/>
      <c r="J14" s="50">
        <f t="shared" si="3"/>
        <v>0</v>
      </c>
      <c r="K14" s="50"/>
      <c r="L14" s="50">
        <f t="shared" si="4"/>
        <v>0</v>
      </c>
      <c r="M14" s="50"/>
      <c r="N14" s="50">
        <f t="shared" si="5"/>
        <v>0</v>
      </c>
      <c r="O14" s="50"/>
      <c r="P14" s="50"/>
      <c r="Q14" s="50"/>
      <c r="R14" s="50">
        <f t="shared" si="6"/>
        <v>0</v>
      </c>
      <c r="S14" s="50"/>
      <c r="T14" s="50">
        <f t="shared" si="7"/>
        <v>0</v>
      </c>
      <c r="U14" s="50"/>
      <c r="V14" s="50">
        <f t="shared" si="8"/>
        <v>0</v>
      </c>
      <c r="W14" s="50"/>
      <c r="X14" s="50">
        <f t="shared" si="9"/>
        <v>0</v>
      </c>
      <c r="Y14" s="50"/>
      <c r="Z14" s="50">
        <f t="shared" si="10"/>
        <v>0</v>
      </c>
      <c r="AA14" s="50"/>
      <c r="AB14" s="50">
        <f t="shared" si="11"/>
        <v>0</v>
      </c>
      <c r="AC14" s="50"/>
      <c r="AD14" s="50"/>
      <c r="AE14" s="50"/>
      <c r="AF14" s="50">
        <f t="shared" si="12"/>
        <v>0</v>
      </c>
      <c r="AG14" s="50"/>
      <c r="AH14" s="50">
        <f t="shared" si="13"/>
        <v>0</v>
      </c>
      <c r="AI14" s="50"/>
      <c r="AJ14" s="50">
        <f t="shared" si="14"/>
        <v>0</v>
      </c>
      <c r="AK14" s="50"/>
      <c r="AL14" s="50">
        <f t="shared" si="15"/>
        <v>0</v>
      </c>
      <c r="AM14" s="50"/>
      <c r="AN14" s="50">
        <f t="shared" si="16"/>
        <v>0</v>
      </c>
      <c r="AO14" s="50"/>
      <c r="AP14" s="50">
        <f t="shared" si="17"/>
        <v>0</v>
      </c>
      <c r="AQ14" s="50"/>
      <c r="AR14" s="50">
        <f t="shared" si="18"/>
        <v>0</v>
      </c>
      <c r="AS14" s="50"/>
      <c r="AT14" s="50">
        <f t="shared" si="19"/>
        <v>0</v>
      </c>
      <c r="AV14" s="27">
        <f t="shared" si="20"/>
        <v>0</v>
      </c>
      <c r="BG14" s="27">
        <v>1</v>
      </c>
      <c r="BH14" s="27">
        <f>$D$14*BG14</f>
        <v>2882.46</v>
      </c>
    </row>
    <row r="15" spans="1:138" ht="15" customHeight="1" x14ac:dyDescent="0.2">
      <c r="A15" s="466" t="s">
        <v>228</v>
      </c>
      <c r="B15" s="467"/>
      <c r="C15" s="49"/>
      <c r="D15" s="49">
        <f t="shared" si="0"/>
        <v>0</v>
      </c>
      <c r="E15" s="50"/>
      <c r="F15" s="50">
        <f t="shared" si="1"/>
        <v>0</v>
      </c>
      <c r="G15" s="50"/>
      <c r="H15" s="50">
        <f t="shared" si="2"/>
        <v>0</v>
      </c>
      <c r="I15" s="50"/>
      <c r="J15" s="50">
        <f t="shared" si="3"/>
        <v>0</v>
      </c>
      <c r="K15" s="50"/>
      <c r="L15" s="50">
        <f t="shared" si="4"/>
        <v>0</v>
      </c>
      <c r="M15" s="50"/>
      <c r="N15" s="50">
        <f t="shared" si="5"/>
        <v>0</v>
      </c>
      <c r="O15" s="50"/>
      <c r="P15" s="50"/>
      <c r="Q15" s="50"/>
      <c r="R15" s="50">
        <f t="shared" si="6"/>
        <v>0</v>
      </c>
      <c r="S15" s="50"/>
      <c r="T15" s="50">
        <f t="shared" si="7"/>
        <v>0</v>
      </c>
      <c r="U15" s="50"/>
      <c r="V15" s="50">
        <f t="shared" si="8"/>
        <v>0</v>
      </c>
      <c r="W15" s="50"/>
      <c r="X15" s="50">
        <f t="shared" si="9"/>
        <v>0</v>
      </c>
      <c r="Y15" s="50"/>
      <c r="Z15" s="50">
        <f t="shared" si="10"/>
        <v>0</v>
      </c>
      <c r="AA15" s="50"/>
      <c r="AB15" s="50">
        <f t="shared" si="11"/>
        <v>0</v>
      </c>
      <c r="AC15" s="50"/>
      <c r="AD15" s="50"/>
      <c r="AE15" s="50"/>
      <c r="AF15" s="50">
        <f t="shared" si="12"/>
        <v>0</v>
      </c>
      <c r="AG15" s="50"/>
      <c r="AH15" s="50">
        <f t="shared" si="13"/>
        <v>0</v>
      </c>
      <c r="AI15" s="50"/>
      <c r="AJ15" s="50">
        <f t="shared" si="14"/>
        <v>0</v>
      </c>
      <c r="AK15" s="50"/>
      <c r="AL15" s="50">
        <f t="shared" si="15"/>
        <v>0</v>
      </c>
      <c r="AM15" s="50"/>
      <c r="AN15" s="50">
        <f t="shared" si="16"/>
        <v>0</v>
      </c>
      <c r="AO15" s="50"/>
      <c r="AP15" s="50">
        <f t="shared" si="17"/>
        <v>0</v>
      </c>
      <c r="AQ15" s="50"/>
      <c r="AR15" s="50">
        <f t="shared" si="18"/>
        <v>0</v>
      </c>
      <c r="AS15" s="50"/>
      <c r="AT15" s="50">
        <f t="shared" si="19"/>
        <v>0</v>
      </c>
      <c r="AV15" s="27">
        <f t="shared" si="20"/>
        <v>0</v>
      </c>
    </row>
    <row r="16" spans="1:138" ht="15" customHeight="1" x14ac:dyDescent="0.2">
      <c r="A16" s="47" t="s">
        <v>1053</v>
      </c>
      <c r="B16" s="48" t="s">
        <v>227</v>
      </c>
      <c r="C16" s="149">
        <v>169.43682352028819</v>
      </c>
      <c r="D16" s="49">
        <f t="shared" si="0"/>
        <v>169.44</v>
      </c>
      <c r="E16" s="50"/>
      <c r="F16" s="50">
        <f t="shared" si="1"/>
        <v>0</v>
      </c>
      <c r="G16" s="50"/>
      <c r="H16" s="50">
        <f t="shared" si="2"/>
        <v>0</v>
      </c>
      <c r="I16" s="50"/>
      <c r="J16" s="50">
        <f t="shared" si="3"/>
        <v>0</v>
      </c>
      <c r="K16" s="50"/>
      <c r="L16" s="50">
        <f t="shared" si="4"/>
        <v>0</v>
      </c>
      <c r="M16" s="50"/>
      <c r="N16" s="50">
        <f t="shared" si="5"/>
        <v>0</v>
      </c>
      <c r="O16" s="50"/>
      <c r="P16" s="50"/>
      <c r="Q16" s="50"/>
      <c r="R16" s="50">
        <f t="shared" si="6"/>
        <v>0</v>
      </c>
      <c r="S16" s="50"/>
      <c r="T16" s="50">
        <f t="shared" si="7"/>
        <v>0</v>
      </c>
      <c r="U16" s="50"/>
      <c r="V16" s="50">
        <f t="shared" si="8"/>
        <v>0</v>
      </c>
      <c r="W16" s="50"/>
      <c r="X16" s="50">
        <f t="shared" si="9"/>
        <v>0</v>
      </c>
      <c r="Y16" s="50"/>
      <c r="Z16" s="50">
        <f t="shared" si="10"/>
        <v>0</v>
      </c>
      <c r="AA16" s="50"/>
      <c r="AB16" s="50">
        <f t="shared" si="11"/>
        <v>0</v>
      </c>
      <c r="AC16" s="50"/>
      <c r="AD16" s="50"/>
      <c r="AE16" s="50">
        <v>1</v>
      </c>
      <c r="AF16" s="479">
        <f t="shared" si="12"/>
        <v>169.44</v>
      </c>
      <c r="AG16" s="50"/>
      <c r="AH16" s="50">
        <f t="shared" si="13"/>
        <v>0</v>
      </c>
      <c r="AI16" s="50"/>
      <c r="AJ16" s="50">
        <f t="shared" si="14"/>
        <v>0</v>
      </c>
      <c r="AK16" s="50"/>
      <c r="AL16" s="50">
        <f t="shared" si="15"/>
        <v>0</v>
      </c>
      <c r="AM16" s="50"/>
      <c r="AN16" s="50">
        <f t="shared" si="16"/>
        <v>0</v>
      </c>
      <c r="AO16" s="50"/>
      <c r="AP16" s="50">
        <f t="shared" si="17"/>
        <v>0</v>
      </c>
      <c r="AQ16" s="50"/>
      <c r="AR16" s="50">
        <f t="shared" si="18"/>
        <v>0</v>
      </c>
      <c r="AS16" s="50"/>
      <c r="AT16" s="50">
        <f t="shared" si="19"/>
        <v>0</v>
      </c>
      <c r="AV16" s="27">
        <f t="shared" si="20"/>
        <v>0</v>
      </c>
    </row>
    <row r="17" spans="1:48" ht="15" customHeight="1" x14ac:dyDescent="0.2">
      <c r="A17" s="47" t="s">
        <v>1054</v>
      </c>
      <c r="B17" s="48" t="s">
        <v>227</v>
      </c>
      <c r="C17" s="149">
        <v>203.04229031838724</v>
      </c>
      <c r="D17" s="49">
        <f t="shared" si="0"/>
        <v>203.04</v>
      </c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</row>
    <row r="18" spans="1:48" ht="15" customHeight="1" x14ac:dyDescent="0.2">
      <c r="A18" s="47" t="s">
        <v>1061</v>
      </c>
      <c r="B18" s="48" t="s">
        <v>227</v>
      </c>
      <c r="C18" s="149">
        <v>3.4067603594463902</v>
      </c>
      <c r="D18" s="49">
        <f t="shared" si="0"/>
        <v>3.41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>
        <v>1</v>
      </c>
      <c r="AF18" s="479">
        <f t="shared" ref="AF18:AF41" si="21">+D18*AE18</f>
        <v>3.41</v>
      </c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</row>
    <row r="19" spans="1:48" ht="15" customHeight="1" x14ac:dyDescent="0.2">
      <c r="A19" s="466" t="s">
        <v>229</v>
      </c>
      <c r="B19" s="467"/>
      <c r="C19" s="49"/>
      <c r="D19" s="49">
        <f t="shared" si="0"/>
        <v>0</v>
      </c>
      <c r="E19" s="50"/>
      <c r="F19" s="50">
        <f t="shared" si="1"/>
        <v>0</v>
      </c>
      <c r="G19" s="50"/>
      <c r="H19" s="50">
        <f t="shared" si="2"/>
        <v>0</v>
      </c>
      <c r="I19" s="50"/>
      <c r="J19" s="50">
        <f t="shared" si="3"/>
        <v>0</v>
      </c>
      <c r="K19" s="50"/>
      <c r="L19" s="50">
        <f t="shared" si="4"/>
        <v>0</v>
      </c>
      <c r="M19" s="50"/>
      <c r="N19" s="50">
        <f t="shared" si="5"/>
        <v>0</v>
      </c>
      <c r="O19" s="50"/>
      <c r="P19" s="50"/>
      <c r="Q19" s="50"/>
      <c r="R19" s="50">
        <f t="shared" si="6"/>
        <v>0</v>
      </c>
      <c r="S19" s="50"/>
      <c r="T19" s="50">
        <f t="shared" si="7"/>
        <v>0</v>
      </c>
      <c r="U19" s="50"/>
      <c r="V19" s="50">
        <f t="shared" si="8"/>
        <v>0</v>
      </c>
      <c r="W19" s="50"/>
      <c r="X19" s="50">
        <f t="shared" ref="X19:X32" si="22">+D19*W19</f>
        <v>0</v>
      </c>
      <c r="Y19" s="50"/>
      <c r="Z19" s="50">
        <f t="shared" ref="Z19:Z32" si="23">+D19*Y19</f>
        <v>0</v>
      </c>
      <c r="AA19" s="50"/>
      <c r="AB19" s="50">
        <f t="shared" ref="AB19:AB34" si="24">+D19*AA19</f>
        <v>0</v>
      </c>
      <c r="AC19" s="50"/>
      <c r="AD19" s="50"/>
      <c r="AE19" s="50"/>
      <c r="AF19" s="50">
        <f t="shared" si="21"/>
        <v>0</v>
      </c>
      <c r="AG19" s="50"/>
      <c r="AH19" s="50">
        <f t="shared" ref="AH19:AH33" si="25">+D19*AG19</f>
        <v>0</v>
      </c>
      <c r="AI19" s="50"/>
      <c r="AJ19" s="50">
        <f t="shared" ref="AJ19:AJ33" si="26">+D19*AI19</f>
        <v>0</v>
      </c>
      <c r="AK19" s="50"/>
      <c r="AL19" s="50">
        <f t="shared" ref="AL19:AL33" si="27">D19*AK19</f>
        <v>0</v>
      </c>
      <c r="AM19" s="50"/>
      <c r="AN19" s="50">
        <f t="shared" ref="AN19:AN33" si="28">D19*AM19</f>
        <v>0</v>
      </c>
      <c r="AO19" s="50"/>
      <c r="AP19" s="50">
        <f t="shared" ref="AP19:AP33" si="29">+D19*AO19</f>
        <v>0</v>
      </c>
      <c r="AQ19" s="50"/>
      <c r="AR19" s="50">
        <f t="shared" ref="AR19:AR33" si="30">+AQ19*D19</f>
        <v>0</v>
      </c>
      <c r="AS19" s="50"/>
      <c r="AT19" s="50">
        <f t="shared" ref="AT19:AT41" si="31">+D19*AS19</f>
        <v>0</v>
      </c>
    </row>
    <row r="20" spans="1:48" ht="15" customHeight="1" x14ac:dyDescent="0.2">
      <c r="A20" s="47" t="s">
        <v>1063</v>
      </c>
      <c r="B20" s="48" t="s">
        <v>227</v>
      </c>
      <c r="C20" s="149">
        <v>133.975010634863</v>
      </c>
      <c r="D20" s="49">
        <f t="shared" si="0"/>
        <v>133.97999999999999</v>
      </c>
      <c r="E20" s="50"/>
      <c r="F20" s="50">
        <f t="shared" si="1"/>
        <v>0</v>
      </c>
      <c r="G20" s="50"/>
      <c r="H20" s="50">
        <f t="shared" si="2"/>
        <v>0</v>
      </c>
      <c r="I20" s="50"/>
      <c r="J20" s="50">
        <f t="shared" si="3"/>
        <v>0</v>
      </c>
      <c r="K20" s="50"/>
      <c r="L20" s="50">
        <f t="shared" si="4"/>
        <v>0</v>
      </c>
      <c r="M20" s="50"/>
      <c r="N20" s="50">
        <f t="shared" si="5"/>
        <v>0</v>
      </c>
      <c r="O20" s="50"/>
      <c r="P20" s="50"/>
      <c r="Q20" s="50"/>
      <c r="R20" s="50">
        <f t="shared" si="6"/>
        <v>0</v>
      </c>
      <c r="S20" s="50"/>
      <c r="T20" s="50">
        <f t="shared" si="7"/>
        <v>0</v>
      </c>
      <c r="U20" s="50"/>
      <c r="V20" s="50">
        <f t="shared" si="8"/>
        <v>0</v>
      </c>
      <c r="W20" s="50"/>
      <c r="X20" s="50">
        <f t="shared" si="22"/>
        <v>0</v>
      </c>
      <c r="Y20" s="50"/>
      <c r="Z20" s="50">
        <f t="shared" si="23"/>
        <v>0</v>
      </c>
      <c r="AA20" s="50"/>
      <c r="AB20" s="50">
        <f t="shared" si="24"/>
        <v>0</v>
      </c>
      <c r="AC20" s="50"/>
      <c r="AD20" s="50"/>
      <c r="AE20" s="50"/>
      <c r="AF20" s="50">
        <f t="shared" si="21"/>
        <v>0</v>
      </c>
      <c r="AG20" s="50"/>
      <c r="AH20" s="50">
        <f t="shared" si="25"/>
        <v>0</v>
      </c>
      <c r="AI20" s="50"/>
      <c r="AJ20" s="50">
        <f t="shared" si="26"/>
        <v>0</v>
      </c>
      <c r="AK20" s="50"/>
      <c r="AL20" s="50">
        <f t="shared" si="27"/>
        <v>0</v>
      </c>
      <c r="AM20" s="50"/>
      <c r="AN20" s="50">
        <f t="shared" si="28"/>
        <v>0</v>
      </c>
      <c r="AO20" s="50"/>
      <c r="AP20" s="50">
        <f t="shared" si="29"/>
        <v>0</v>
      </c>
      <c r="AQ20" s="50"/>
      <c r="AR20" s="50">
        <f t="shared" si="30"/>
        <v>0</v>
      </c>
      <c r="AS20" s="50"/>
      <c r="AT20" s="50">
        <f t="shared" si="31"/>
        <v>0</v>
      </c>
    </row>
    <row r="21" spans="1:48" ht="15" customHeight="1" x14ac:dyDescent="0.2">
      <c r="A21" s="47" t="s">
        <v>1064</v>
      </c>
      <c r="B21" s="48" t="s">
        <v>227</v>
      </c>
      <c r="C21" s="149">
        <v>156.84752339391233</v>
      </c>
      <c r="D21" s="49">
        <f t="shared" si="0"/>
        <v>156.85</v>
      </c>
      <c r="E21" s="50"/>
      <c r="F21" s="50">
        <f t="shared" si="1"/>
        <v>0</v>
      </c>
      <c r="G21" s="50"/>
      <c r="H21" s="50">
        <f t="shared" si="2"/>
        <v>0</v>
      </c>
      <c r="I21" s="50"/>
      <c r="J21" s="50">
        <f t="shared" si="3"/>
        <v>0</v>
      </c>
      <c r="K21" s="50"/>
      <c r="L21" s="50">
        <f t="shared" si="4"/>
        <v>0</v>
      </c>
      <c r="M21" s="50"/>
      <c r="N21" s="50">
        <f t="shared" si="5"/>
        <v>0</v>
      </c>
      <c r="O21" s="50"/>
      <c r="P21" s="50"/>
      <c r="Q21" s="50"/>
      <c r="R21" s="50">
        <f t="shared" si="6"/>
        <v>0</v>
      </c>
      <c r="S21" s="50"/>
      <c r="T21" s="50">
        <f t="shared" si="7"/>
        <v>0</v>
      </c>
      <c r="U21" s="50"/>
      <c r="V21" s="50">
        <f t="shared" si="8"/>
        <v>0</v>
      </c>
      <c r="W21" s="50"/>
      <c r="X21" s="50">
        <f t="shared" si="22"/>
        <v>0</v>
      </c>
      <c r="Y21" s="50"/>
      <c r="Z21" s="50">
        <f t="shared" si="23"/>
        <v>0</v>
      </c>
      <c r="AA21" s="50"/>
      <c r="AB21" s="50">
        <f t="shared" si="24"/>
        <v>0</v>
      </c>
      <c r="AC21" s="50"/>
      <c r="AD21" s="50"/>
      <c r="AE21" s="50"/>
      <c r="AF21" s="50">
        <f t="shared" si="21"/>
        <v>0</v>
      </c>
      <c r="AG21" s="50"/>
      <c r="AH21" s="50">
        <f t="shared" si="25"/>
        <v>0</v>
      </c>
      <c r="AI21" s="50"/>
      <c r="AJ21" s="50">
        <f t="shared" si="26"/>
        <v>0</v>
      </c>
      <c r="AK21" s="50"/>
      <c r="AL21" s="50">
        <f t="shared" si="27"/>
        <v>0</v>
      </c>
      <c r="AM21" s="50"/>
      <c r="AN21" s="50">
        <f t="shared" si="28"/>
        <v>0</v>
      </c>
      <c r="AO21" s="50"/>
      <c r="AP21" s="50">
        <f t="shared" si="29"/>
        <v>0</v>
      </c>
      <c r="AQ21" s="50"/>
      <c r="AR21" s="50">
        <f t="shared" si="30"/>
        <v>0</v>
      </c>
      <c r="AS21" s="50"/>
      <c r="AT21" s="50">
        <f t="shared" si="31"/>
        <v>0</v>
      </c>
    </row>
    <row r="22" spans="1:48" ht="15" customHeight="1" x14ac:dyDescent="0.2">
      <c r="A22" s="466" t="s">
        <v>230</v>
      </c>
      <c r="B22" s="467"/>
      <c r="C22" s="49"/>
      <c r="D22" s="49">
        <f t="shared" si="0"/>
        <v>0</v>
      </c>
      <c r="E22" s="50"/>
      <c r="F22" s="50">
        <f t="shared" si="1"/>
        <v>0</v>
      </c>
      <c r="G22" s="50"/>
      <c r="H22" s="50">
        <f t="shared" si="2"/>
        <v>0</v>
      </c>
      <c r="I22" s="50"/>
      <c r="J22" s="50">
        <f t="shared" si="3"/>
        <v>0</v>
      </c>
      <c r="K22" s="50"/>
      <c r="L22" s="50">
        <f t="shared" si="4"/>
        <v>0</v>
      </c>
      <c r="M22" s="50"/>
      <c r="N22" s="50">
        <f t="shared" si="5"/>
        <v>0</v>
      </c>
      <c r="O22" s="50"/>
      <c r="P22" s="50"/>
      <c r="Q22" s="50"/>
      <c r="R22" s="50">
        <f t="shared" si="6"/>
        <v>0</v>
      </c>
      <c r="S22" s="50"/>
      <c r="T22" s="50">
        <f t="shared" si="7"/>
        <v>0</v>
      </c>
      <c r="U22" s="50"/>
      <c r="V22" s="50">
        <f t="shared" si="8"/>
        <v>0</v>
      </c>
      <c r="W22" s="50"/>
      <c r="X22" s="50">
        <f t="shared" si="22"/>
        <v>0</v>
      </c>
      <c r="Y22" s="50"/>
      <c r="Z22" s="50">
        <f t="shared" si="23"/>
        <v>0</v>
      </c>
      <c r="AA22" s="50"/>
      <c r="AB22" s="50">
        <f t="shared" si="24"/>
        <v>0</v>
      </c>
      <c r="AC22" s="50"/>
      <c r="AD22" s="50"/>
      <c r="AE22" s="50"/>
      <c r="AF22" s="50">
        <f t="shared" si="21"/>
        <v>0</v>
      </c>
      <c r="AG22" s="50"/>
      <c r="AH22" s="50">
        <f t="shared" si="25"/>
        <v>0</v>
      </c>
      <c r="AI22" s="50"/>
      <c r="AJ22" s="50">
        <f t="shared" si="26"/>
        <v>0</v>
      </c>
      <c r="AK22" s="50"/>
      <c r="AL22" s="50">
        <f t="shared" si="27"/>
        <v>0</v>
      </c>
      <c r="AM22" s="50"/>
      <c r="AN22" s="50">
        <f t="shared" si="28"/>
        <v>0</v>
      </c>
      <c r="AO22" s="50"/>
      <c r="AP22" s="50">
        <f t="shared" si="29"/>
        <v>0</v>
      </c>
      <c r="AQ22" s="50"/>
      <c r="AR22" s="50">
        <f t="shared" si="30"/>
        <v>0</v>
      </c>
      <c r="AS22" s="50"/>
      <c r="AT22" s="50">
        <f t="shared" si="31"/>
        <v>0</v>
      </c>
    </row>
    <row r="23" spans="1:48" x14ac:dyDescent="0.2">
      <c r="A23" s="47" t="s">
        <v>1065</v>
      </c>
      <c r="B23" s="48" t="s">
        <v>227</v>
      </c>
      <c r="C23" s="149">
        <v>11.167564221727901</v>
      </c>
      <c r="D23" s="49">
        <f t="shared" si="0"/>
        <v>11.17</v>
      </c>
      <c r="E23" s="50">
        <v>2</v>
      </c>
      <c r="F23" s="50">
        <f t="shared" si="1"/>
        <v>22.34</v>
      </c>
      <c r="G23" s="50">
        <v>4</v>
      </c>
      <c r="H23" s="479">
        <f t="shared" si="2"/>
        <v>44.68</v>
      </c>
      <c r="I23" s="50"/>
      <c r="J23" s="50">
        <f t="shared" si="3"/>
        <v>0</v>
      </c>
      <c r="K23" s="50"/>
      <c r="L23" s="50">
        <f t="shared" si="4"/>
        <v>0</v>
      </c>
      <c r="M23" s="50">
        <v>2</v>
      </c>
      <c r="N23" s="50">
        <f t="shared" si="5"/>
        <v>22.34</v>
      </c>
      <c r="O23" s="50">
        <v>4</v>
      </c>
      <c r="P23" s="479">
        <f>D23*O23</f>
        <v>44.68</v>
      </c>
      <c r="Q23" s="50"/>
      <c r="R23" s="50">
        <f t="shared" si="6"/>
        <v>0</v>
      </c>
      <c r="S23" s="50"/>
      <c r="T23" s="50">
        <f t="shared" si="7"/>
        <v>0</v>
      </c>
      <c r="U23" s="50"/>
      <c r="V23" s="50">
        <f t="shared" si="8"/>
        <v>0</v>
      </c>
      <c r="W23" s="50"/>
      <c r="X23" s="50">
        <f t="shared" si="22"/>
        <v>0</v>
      </c>
      <c r="Y23" s="50"/>
      <c r="Z23" s="50">
        <f t="shared" si="23"/>
        <v>0</v>
      </c>
      <c r="AA23" s="50"/>
      <c r="AB23" s="50">
        <f t="shared" si="24"/>
        <v>0</v>
      </c>
      <c r="AC23" s="50"/>
      <c r="AD23" s="50"/>
      <c r="AE23" s="50"/>
      <c r="AF23" s="50">
        <f t="shared" si="21"/>
        <v>0</v>
      </c>
      <c r="AG23" s="50"/>
      <c r="AH23" s="50">
        <f t="shared" si="25"/>
        <v>0</v>
      </c>
      <c r="AI23" s="50"/>
      <c r="AJ23" s="50">
        <f t="shared" si="26"/>
        <v>0</v>
      </c>
      <c r="AK23" s="50"/>
      <c r="AL23" s="50">
        <f t="shared" si="27"/>
        <v>0</v>
      </c>
      <c r="AM23" s="50"/>
      <c r="AN23" s="50">
        <f t="shared" si="28"/>
        <v>0</v>
      </c>
      <c r="AO23" s="50"/>
      <c r="AP23" s="50">
        <f t="shared" si="29"/>
        <v>0</v>
      </c>
      <c r="AQ23" s="50"/>
      <c r="AR23" s="50">
        <f t="shared" si="30"/>
        <v>0</v>
      </c>
      <c r="AS23" s="50"/>
      <c r="AT23" s="50">
        <f t="shared" si="31"/>
        <v>0</v>
      </c>
      <c r="AV23" s="27">
        <f>D23*AU23</f>
        <v>0</v>
      </c>
    </row>
    <row r="24" spans="1:48" x14ac:dyDescent="0.2">
      <c r="A24" s="47" t="s">
        <v>1066</v>
      </c>
      <c r="B24" s="48" t="s">
        <v>227</v>
      </c>
      <c r="C24" s="149">
        <v>15.07808456634981</v>
      </c>
      <c r="D24" s="49">
        <f t="shared" si="0"/>
        <v>15.08</v>
      </c>
      <c r="E24" s="50"/>
      <c r="F24" s="50">
        <f t="shared" si="1"/>
        <v>0</v>
      </c>
      <c r="G24" s="50">
        <v>1</v>
      </c>
      <c r="H24" s="479">
        <f t="shared" si="2"/>
        <v>15.08</v>
      </c>
      <c r="I24" s="50">
        <v>1</v>
      </c>
      <c r="J24" s="50">
        <f t="shared" si="3"/>
        <v>15.08</v>
      </c>
      <c r="K24" s="50">
        <v>2</v>
      </c>
      <c r="L24" s="50">
        <f t="shared" si="4"/>
        <v>30.16</v>
      </c>
      <c r="M24" s="50"/>
      <c r="N24" s="50">
        <f t="shared" si="5"/>
        <v>0</v>
      </c>
      <c r="O24" s="50"/>
      <c r="P24" s="50"/>
      <c r="Q24" s="50"/>
      <c r="R24" s="50">
        <f t="shared" si="6"/>
        <v>0</v>
      </c>
      <c r="S24" s="50"/>
      <c r="T24" s="50">
        <f t="shared" si="7"/>
        <v>0</v>
      </c>
      <c r="U24" s="50"/>
      <c r="V24" s="50">
        <f t="shared" si="8"/>
        <v>0</v>
      </c>
      <c r="W24" s="50"/>
      <c r="X24" s="50">
        <f t="shared" si="22"/>
        <v>0</v>
      </c>
      <c r="Y24" s="50"/>
      <c r="Z24" s="50">
        <f t="shared" si="23"/>
        <v>0</v>
      </c>
      <c r="AA24" s="50"/>
      <c r="AB24" s="50">
        <f t="shared" si="24"/>
        <v>0</v>
      </c>
      <c r="AC24" s="50"/>
      <c r="AD24" s="50"/>
      <c r="AE24" s="50"/>
      <c r="AF24" s="50">
        <f t="shared" si="21"/>
        <v>0</v>
      </c>
      <c r="AG24" s="50"/>
      <c r="AH24" s="50">
        <f t="shared" si="25"/>
        <v>0</v>
      </c>
      <c r="AI24" s="50"/>
      <c r="AJ24" s="50">
        <f t="shared" si="26"/>
        <v>0</v>
      </c>
      <c r="AK24" s="50"/>
      <c r="AL24" s="50">
        <f t="shared" si="27"/>
        <v>0</v>
      </c>
      <c r="AM24" s="50"/>
      <c r="AN24" s="50">
        <f t="shared" si="28"/>
        <v>0</v>
      </c>
      <c r="AO24" s="50"/>
      <c r="AP24" s="50">
        <f t="shared" si="29"/>
        <v>0</v>
      </c>
      <c r="AQ24" s="50"/>
      <c r="AR24" s="50">
        <f t="shared" si="30"/>
        <v>0</v>
      </c>
      <c r="AS24" s="50"/>
      <c r="AT24" s="50">
        <f t="shared" si="31"/>
        <v>0</v>
      </c>
    </row>
    <row r="25" spans="1:48" ht="15" customHeight="1" x14ac:dyDescent="0.2">
      <c r="A25" s="47" t="s">
        <v>231</v>
      </c>
      <c r="B25" s="48" t="s">
        <v>227</v>
      </c>
      <c r="C25" s="149">
        <v>1.4566517573644397</v>
      </c>
      <c r="D25" s="49">
        <f t="shared" si="0"/>
        <v>1.46</v>
      </c>
      <c r="E25" s="50"/>
      <c r="F25" s="50">
        <f t="shared" si="1"/>
        <v>0</v>
      </c>
      <c r="G25" s="50"/>
      <c r="H25" s="50">
        <f t="shared" si="2"/>
        <v>0</v>
      </c>
      <c r="I25" s="50"/>
      <c r="J25" s="50">
        <f t="shared" si="3"/>
        <v>0</v>
      </c>
      <c r="K25" s="50"/>
      <c r="L25" s="50">
        <f t="shared" si="4"/>
        <v>0</v>
      </c>
      <c r="M25" s="50"/>
      <c r="N25" s="50">
        <f t="shared" si="5"/>
        <v>0</v>
      </c>
      <c r="O25" s="50"/>
      <c r="P25" s="50"/>
      <c r="Q25" s="50"/>
      <c r="R25" s="50">
        <f t="shared" si="6"/>
        <v>0</v>
      </c>
      <c r="S25" s="50"/>
      <c r="T25" s="50">
        <f t="shared" si="7"/>
        <v>0</v>
      </c>
      <c r="U25" s="50"/>
      <c r="V25" s="50">
        <f t="shared" si="8"/>
        <v>0</v>
      </c>
      <c r="W25" s="50"/>
      <c r="X25" s="50">
        <f t="shared" si="22"/>
        <v>0</v>
      </c>
      <c r="Y25" s="50"/>
      <c r="Z25" s="50">
        <f t="shared" si="23"/>
        <v>0</v>
      </c>
      <c r="AA25" s="50"/>
      <c r="AB25" s="50">
        <f t="shared" si="24"/>
        <v>0</v>
      </c>
      <c r="AC25" s="50"/>
      <c r="AD25" s="50"/>
      <c r="AE25" s="50"/>
      <c r="AF25" s="50">
        <f t="shared" si="21"/>
        <v>0</v>
      </c>
      <c r="AG25" s="50">
        <v>1</v>
      </c>
      <c r="AH25" s="50">
        <f t="shared" si="25"/>
        <v>1.46</v>
      </c>
      <c r="AI25" s="50"/>
      <c r="AJ25" s="50">
        <f t="shared" si="26"/>
        <v>0</v>
      </c>
      <c r="AK25" s="50">
        <v>1</v>
      </c>
      <c r="AL25" s="50">
        <f t="shared" si="27"/>
        <v>1.46</v>
      </c>
      <c r="AM25" s="50"/>
      <c r="AN25" s="50">
        <f t="shared" si="28"/>
        <v>0</v>
      </c>
      <c r="AO25" s="50"/>
      <c r="AP25" s="50">
        <f t="shared" si="29"/>
        <v>0</v>
      </c>
      <c r="AQ25" s="50"/>
      <c r="AR25" s="50">
        <f t="shared" si="30"/>
        <v>0</v>
      </c>
      <c r="AS25" s="50"/>
      <c r="AT25" s="50">
        <f t="shared" si="31"/>
        <v>0</v>
      </c>
    </row>
    <row r="26" spans="1:48" ht="15" customHeight="1" x14ac:dyDescent="0.2">
      <c r="A26" s="47" t="s">
        <v>232</v>
      </c>
      <c r="B26" s="48" t="s">
        <v>227</v>
      </c>
      <c r="C26" s="149">
        <v>7.3792986770316062</v>
      </c>
      <c r="D26" s="49">
        <f t="shared" si="0"/>
        <v>7.38</v>
      </c>
      <c r="E26" s="50"/>
      <c r="F26" s="50">
        <f t="shared" si="1"/>
        <v>0</v>
      </c>
      <c r="G26" s="50"/>
      <c r="H26" s="50">
        <f t="shared" si="2"/>
        <v>0</v>
      </c>
      <c r="I26" s="50"/>
      <c r="J26" s="50">
        <f t="shared" si="3"/>
        <v>0</v>
      </c>
      <c r="K26" s="50"/>
      <c r="L26" s="50">
        <f t="shared" si="4"/>
        <v>0</v>
      </c>
      <c r="M26" s="50"/>
      <c r="N26" s="50">
        <f t="shared" si="5"/>
        <v>0</v>
      </c>
      <c r="O26" s="50"/>
      <c r="P26" s="50"/>
      <c r="Q26" s="50">
        <v>1</v>
      </c>
      <c r="R26" s="50">
        <f t="shared" si="6"/>
        <v>7.38</v>
      </c>
      <c r="S26" s="50">
        <v>1</v>
      </c>
      <c r="T26" s="50">
        <f t="shared" si="7"/>
        <v>7.38</v>
      </c>
      <c r="U26" s="50"/>
      <c r="V26" s="50">
        <f t="shared" si="8"/>
        <v>0</v>
      </c>
      <c r="W26" s="50">
        <v>1</v>
      </c>
      <c r="X26" s="50">
        <f t="shared" si="22"/>
        <v>7.38</v>
      </c>
      <c r="Y26" s="50"/>
      <c r="Z26" s="50">
        <f t="shared" si="23"/>
        <v>0</v>
      </c>
      <c r="AA26" s="50"/>
      <c r="AB26" s="50">
        <f t="shared" si="24"/>
        <v>0</v>
      </c>
      <c r="AC26" s="50"/>
      <c r="AD26" s="50"/>
      <c r="AE26" s="50"/>
      <c r="AF26" s="50">
        <f t="shared" si="21"/>
        <v>0</v>
      </c>
      <c r="AG26" s="50"/>
      <c r="AH26" s="50">
        <f t="shared" si="25"/>
        <v>0</v>
      </c>
      <c r="AI26" s="50"/>
      <c r="AJ26" s="50">
        <f t="shared" si="26"/>
        <v>0</v>
      </c>
      <c r="AK26" s="50"/>
      <c r="AL26" s="50">
        <f t="shared" si="27"/>
        <v>0</v>
      </c>
      <c r="AM26" s="50"/>
      <c r="AN26" s="50">
        <f t="shared" si="28"/>
        <v>0</v>
      </c>
      <c r="AO26" s="50"/>
      <c r="AP26" s="50">
        <f t="shared" si="29"/>
        <v>0</v>
      </c>
      <c r="AQ26" s="50"/>
      <c r="AR26" s="50">
        <f t="shared" si="30"/>
        <v>0</v>
      </c>
      <c r="AS26" s="50"/>
      <c r="AT26" s="50">
        <f t="shared" si="31"/>
        <v>0</v>
      </c>
    </row>
    <row r="27" spans="1:48" x14ac:dyDescent="0.2">
      <c r="A27" s="466" t="s">
        <v>233</v>
      </c>
      <c r="B27" s="467"/>
      <c r="C27" s="49"/>
      <c r="D27" s="49">
        <f t="shared" si="0"/>
        <v>0</v>
      </c>
      <c r="E27" s="50"/>
      <c r="F27" s="50">
        <f t="shared" si="1"/>
        <v>0</v>
      </c>
      <c r="G27" s="50"/>
      <c r="H27" s="50">
        <f t="shared" si="2"/>
        <v>0</v>
      </c>
      <c r="I27" s="50"/>
      <c r="J27" s="50">
        <f t="shared" si="3"/>
        <v>0</v>
      </c>
      <c r="K27" s="50"/>
      <c r="L27" s="50">
        <f t="shared" si="4"/>
        <v>0</v>
      </c>
      <c r="M27" s="50"/>
      <c r="N27" s="50">
        <f t="shared" si="5"/>
        <v>0</v>
      </c>
      <c r="O27" s="50"/>
      <c r="P27" s="50"/>
      <c r="Q27" s="50"/>
      <c r="R27" s="50">
        <f t="shared" si="6"/>
        <v>0</v>
      </c>
      <c r="S27" s="50"/>
      <c r="T27" s="50">
        <f t="shared" si="7"/>
        <v>0</v>
      </c>
      <c r="U27" s="50"/>
      <c r="V27" s="50">
        <f t="shared" si="8"/>
        <v>0</v>
      </c>
      <c r="W27" s="50"/>
      <c r="X27" s="50">
        <f t="shared" si="22"/>
        <v>0</v>
      </c>
      <c r="Y27" s="50"/>
      <c r="Z27" s="50">
        <f t="shared" si="23"/>
        <v>0</v>
      </c>
      <c r="AA27" s="50"/>
      <c r="AB27" s="50">
        <f t="shared" si="24"/>
        <v>0</v>
      </c>
      <c r="AC27" s="50"/>
      <c r="AD27" s="50"/>
      <c r="AE27" s="50"/>
      <c r="AF27" s="50">
        <f t="shared" si="21"/>
        <v>0</v>
      </c>
      <c r="AG27" s="50"/>
      <c r="AH27" s="50">
        <f t="shared" si="25"/>
        <v>0</v>
      </c>
      <c r="AI27" s="50"/>
      <c r="AJ27" s="50">
        <f t="shared" si="26"/>
        <v>0</v>
      </c>
      <c r="AK27" s="50"/>
      <c r="AL27" s="50">
        <f t="shared" si="27"/>
        <v>0</v>
      </c>
      <c r="AM27" s="50"/>
      <c r="AN27" s="50">
        <f t="shared" si="28"/>
        <v>0</v>
      </c>
      <c r="AO27" s="50"/>
      <c r="AP27" s="50">
        <f t="shared" si="29"/>
        <v>0</v>
      </c>
      <c r="AQ27" s="50"/>
      <c r="AR27" s="50">
        <f t="shared" si="30"/>
        <v>0</v>
      </c>
      <c r="AS27" s="50"/>
      <c r="AT27" s="50">
        <f t="shared" si="31"/>
        <v>0</v>
      </c>
    </row>
    <row r="28" spans="1:48" ht="15" customHeight="1" x14ac:dyDescent="0.2">
      <c r="A28" s="47" t="s">
        <v>62</v>
      </c>
      <c r="B28" s="48" t="s">
        <v>61</v>
      </c>
      <c r="C28" s="149">
        <v>720</v>
      </c>
      <c r="D28" s="49">
        <f t="shared" si="0"/>
        <v>720</v>
      </c>
      <c r="E28" s="50"/>
      <c r="F28" s="50">
        <f t="shared" si="1"/>
        <v>0</v>
      </c>
      <c r="G28" s="50"/>
      <c r="H28" s="50">
        <f t="shared" si="2"/>
        <v>0</v>
      </c>
      <c r="I28" s="50"/>
      <c r="J28" s="50">
        <f t="shared" si="3"/>
        <v>0</v>
      </c>
      <c r="K28" s="50"/>
      <c r="L28" s="50">
        <f t="shared" si="4"/>
        <v>0</v>
      </c>
      <c r="M28" s="50"/>
      <c r="N28" s="50">
        <f t="shared" si="5"/>
        <v>0</v>
      </c>
      <c r="O28" s="50"/>
      <c r="P28" s="50"/>
      <c r="Q28" s="50"/>
      <c r="R28" s="50">
        <f t="shared" si="6"/>
        <v>0</v>
      </c>
      <c r="S28" s="50"/>
      <c r="T28" s="50">
        <f t="shared" si="7"/>
        <v>0</v>
      </c>
      <c r="U28" s="50"/>
      <c r="V28" s="50">
        <f t="shared" si="8"/>
        <v>0</v>
      </c>
      <c r="W28" s="50"/>
      <c r="X28" s="50">
        <f t="shared" si="22"/>
        <v>0</v>
      </c>
      <c r="Y28" s="50"/>
      <c r="Z28" s="50">
        <f t="shared" si="23"/>
        <v>0</v>
      </c>
      <c r="AA28" s="50"/>
      <c r="AB28" s="50">
        <f t="shared" si="24"/>
        <v>0</v>
      </c>
      <c r="AC28" s="50"/>
      <c r="AD28" s="50"/>
      <c r="AE28" s="50"/>
      <c r="AF28" s="50">
        <f t="shared" si="21"/>
        <v>0</v>
      </c>
      <c r="AG28" s="50"/>
      <c r="AH28" s="50">
        <f t="shared" si="25"/>
        <v>0</v>
      </c>
      <c r="AI28" s="50"/>
      <c r="AJ28" s="50">
        <f t="shared" si="26"/>
        <v>0</v>
      </c>
      <c r="AK28" s="50"/>
      <c r="AL28" s="50">
        <f t="shared" si="27"/>
        <v>0</v>
      </c>
      <c r="AM28" s="50"/>
      <c r="AN28" s="50">
        <f t="shared" si="28"/>
        <v>0</v>
      </c>
      <c r="AO28" s="50"/>
      <c r="AP28" s="50">
        <f t="shared" si="29"/>
        <v>0</v>
      </c>
      <c r="AQ28" s="50"/>
      <c r="AR28" s="50">
        <f t="shared" si="30"/>
        <v>0</v>
      </c>
      <c r="AS28" s="50"/>
      <c r="AT28" s="50">
        <f t="shared" si="31"/>
        <v>0</v>
      </c>
    </row>
    <row r="29" spans="1:48" ht="15.75" customHeight="1" x14ac:dyDescent="0.2">
      <c r="A29" s="47" t="s">
        <v>63</v>
      </c>
      <c r="B29" s="48" t="s">
        <v>61</v>
      </c>
      <c r="C29" s="149">
        <v>1040</v>
      </c>
      <c r="D29" s="49">
        <f t="shared" si="0"/>
        <v>1040</v>
      </c>
      <c r="E29" s="50"/>
      <c r="F29" s="50">
        <f t="shared" si="1"/>
        <v>0</v>
      </c>
      <c r="G29" s="50"/>
      <c r="H29" s="50">
        <f t="shared" si="2"/>
        <v>0</v>
      </c>
      <c r="I29" s="50"/>
      <c r="J29" s="50">
        <f t="shared" si="3"/>
        <v>0</v>
      </c>
      <c r="K29" s="50"/>
      <c r="L29" s="50">
        <f t="shared" si="4"/>
        <v>0</v>
      </c>
      <c r="M29" s="50"/>
      <c r="N29" s="50">
        <f t="shared" si="5"/>
        <v>0</v>
      </c>
      <c r="O29" s="50"/>
      <c r="P29" s="50"/>
      <c r="Q29" s="50"/>
      <c r="R29" s="50">
        <f t="shared" si="6"/>
        <v>0</v>
      </c>
      <c r="S29" s="50"/>
      <c r="T29" s="50">
        <f t="shared" si="7"/>
        <v>0</v>
      </c>
      <c r="U29" s="50"/>
      <c r="V29" s="50">
        <f t="shared" si="8"/>
        <v>0</v>
      </c>
      <c r="W29" s="50"/>
      <c r="X29" s="50">
        <f t="shared" si="22"/>
        <v>0</v>
      </c>
      <c r="Y29" s="50"/>
      <c r="Z29" s="50">
        <f t="shared" si="23"/>
        <v>0</v>
      </c>
      <c r="AA29" s="50"/>
      <c r="AB29" s="50">
        <f t="shared" si="24"/>
        <v>0</v>
      </c>
      <c r="AC29" s="50"/>
      <c r="AD29" s="50"/>
      <c r="AE29" s="50"/>
      <c r="AF29" s="50">
        <f t="shared" si="21"/>
        <v>0</v>
      </c>
      <c r="AG29" s="50"/>
      <c r="AH29" s="50">
        <f t="shared" si="25"/>
        <v>0</v>
      </c>
      <c r="AI29" s="50"/>
      <c r="AJ29" s="50">
        <f t="shared" si="26"/>
        <v>0</v>
      </c>
      <c r="AK29" s="50"/>
      <c r="AL29" s="50">
        <f t="shared" si="27"/>
        <v>0</v>
      </c>
      <c r="AM29" s="50"/>
      <c r="AN29" s="50">
        <f t="shared" si="28"/>
        <v>0</v>
      </c>
      <c r="AO29" s="50"/>
      <c r="AP29" s="50">
        <f t="shared" si="29"/>
        <v>0</v>
      </c>
      <c r="AQ29" s="50"/>
      <c r="AR29" s="50">
        <f t="shared" si="30"/>
        <v>0</v>
      </c>
      <c r="AS29" s="50"/>
      <c r="AT29" s="50">
        <f t="shared" si="31"/>
        <v>0</v>
      </c>
    </row>
    <row r="30" spans="1:48" ht="15.75" customHeight="1" x14ac:dyDescent="0.2">
      <c r="A30" s="47" t="s">
        <v>64</v>
      </c>
      <c r="B30" s="48" t="s">
        <v>61</v>
      </c>
      <c r="C30" s="149">
        <v>1340</v>
      </c>
      <c r="D30" s="49">
        <f>ROUND((C30*(1+D$4)),2)</f>
        <v>1340</v>
      </c>
      <c r="E30" s="50"/>
      <c r="F30" s="50">
        <f>+D30*E30</f>
        <v>0</v>
      </c>
      <c r="G30" s="50"/>
      <c r="H30" s="50">
        <f>+D30*G30</f>
        <v>0</v>
      </c>
      <c r="I30" s="50"/>
      <c r="J30" s="50">
        <f>+D30*I30</f>
        <v>0</v>
      </c>
      <c r="K30" s="50"/>
      <c r="L30" s="50">
        <f>+D30*K30</f>
        <v>0</v>
      </c>
      <c r="M30" s="50"/>
      <c r="N30" s="50">
        <f>+D30*M30</f>
        <v>0</v>
      </c>
      <c r="O30" s="50"/>
      <c r="P30" s="50"/>
      <c r="Q30" s="50"/>
      <c r="R30" s="50">
        <f>+D30*Q30</f>
        <v>0</v>
      </c>
      <c r="S30" s="50"/>
      <c r="T30" s="50">
        <f>+D30*S30</f>
        <v>0</v>
      </c>
      <c r="U30" s="50"/>
      <c r="V30" s="50">
        <f>+D30*U30</f>
        <v>0</v>
      </c>
      <c r="W30" s="50"/>
      <c r="X30" s="50">
        <f t="shared" si="22"/>
        <v>0</v>
      </c>
      <c r="Y30" s="50"/>
      <c r="Z30" s="50">
        <f t="shared" si="23"/>
        <v>0</v>
      </c>
      <c r="AA30" s="50"/>
      <c r="AB30" s="50">
        <f t="shared" si="24"/>
        <v>0</v>
      </c>
      <c r="AC30" s="50"/>
      <c r="AD30" s="50"/>
      <c r="AE30" s="50"/>
      <c r="AF30" s="50">
        <f t="shared" si="21"/>
        <v>0</v>
      </c>
      <c r="AG30" s="50"/>
      <c r="AH30" s="50">
        <f t="shared" si="25"/>
        <v>0</v>
      </c>
      <c r="AI30" s="50"/>
      <c r="AJ30" s="50">
        <f t="shared" si="26"/>
        <v>0</v>
      </c>
      <c r="AK30" s="50"/>
      <c r="AL30" s="50">
        <f t="shared" si="27"/>
        <v>0</v>
      </c>
      <c r="AM30" s="50"/>
      <c r="AN30" s="50">
        <f t="shared" si="28"/>
        <v>0</v>
      </c>
      <c r="AO30" s="50"/>
      <c r="AP30" s="50">
        <f t="shared" si="29"/>
        <v>0</v>
      </c>
      <c r="AQ30" s="50"/>
      <c r="AR30" s="50">
        <f t="shared" si="30"/>
        <v>0</v>
      </c>
      <c r="AS30" s="50"/>
      <c r="AT30" s="50">
        <f t="shared" si="31"/>
        <v>0</v>
      </c>
      <c r="AV30" s="27">
        <f>D30*AU30</f>
        <v>0</v>
      </c>
    </row>
    <row r="31" spans="1:48" ht="15" customHeight="1" x14ac:dyDescent="0.2">
      <c r="A31" s="47" t="s">
        <v>65</v>
      </c>
      <c r="B31" s="48" t="s">
        <v>61</v>
      </c>
      <c r="C31" s="149">
        <v>1740</v>
      </c>
      <c r="D31" s="49">
        <f>ROUND((C31*(1+D$4)),2)</f>
        <v>1740</v>
      </c>
      <c r="E31" s="50"/>
      <c r="F31" s="50">
        <f>+D31*E31</f>
        <v>0</v>
      </c>
      <c r="G31" s="50"/>
      <c r="H31" s="50">
        <f>+D31*G31</f>
        <v>0</v>
      </c>
      <c r="I31" s="50"/>
      <c r="J31" s="50">
        <f>+D31*I31</f>
        <v>0</v>
      </c>
      <c r="K31" s="50"/>
      <c r="L31" s="50">
        <f>+D31*K31</f>
        <v>0</v>
      </c>
      <c r="M31" s="50"/>
      <c r="N31" s="50">
        <f>+D31*M31</f>
        <v>0</v>
      </c>
      <c r="O31" s="50"/>
      <c r="P31" s="50"/>
      <c r="Q31" s="50"/>
      <c r="R31" s="50">
        <f>+D31*Q31</f>
        <v>0</v>
      </c>
      <c r="S31" s="50"/>
      <c r="T31" s="50">
        <f>+D31*S31</f>
        <v>0</v>
      </c>
      <c r="U31" s="50"/>
      <c r="V31" s="50">
        <f>+D31*U31</f>
        <v>0</v>
      </c>
      <c r="W31" s="50"/>
      <c r="X31" s="50">
        <f t="shared" si="22"/>
        <v>0</v>
      </c>
      <c r="Y31" s="50"/>
      <c r="Z31" s="50">
        <f t="shared" si="23"/>
        <v>0</v>
      </c>
      <c r="AA31" s="50"/>
      <c r="AB31" s="50">
        <f t="shared" si="24"/>
        <v>0</v>
      </c>
      <c r="AC31" s="50"/>
      <c r="AD31" s="50"/>
      <c r="AE31" s="50"/>
      <c r="AF31" s="50">
        <f t="shared" si="21"/>
        <v>0</v>
      </c>
      <c r="AG31" s="50"/>
      <c r="AH31" s="50">
        <f t="shared" si="25"/>
        <v>0</v>
      </c>
      <c r="AI31" s="50"/>
      <c r="AJ31" s="50">
        <f t="shared" si="26"/>
        <v>0</v>
      </c>
      <c r="AK31" s="50"/>
      <c r="AL31" s="50">
        <f t="shared" si="27"/>
        <v>0</v>
      </c>
      <c r="AM31" s="50"/>
      <c r="AN31" s="50">
        <f t="shared" si="28"/>
        <v>0</v>
      </c>
      <c r="AO31" s="50"/>
      <c r="AP31" s="50">
        <f t="shared" si="29"/>
        <v>0</v>
      </c>
      <c r="AQ31" s="50"/>
      <c r="AR31" s="50">
        <f t="shared" si="30"/>
        <v>0</v>
      </c>
      <c r="AS31" s="50"/>
      <c r="AT31" s="50">
        <f t="shared" si="31"/>
        <v>0</v>
      </c>
      <c r="AV31" s="27">
        <f>D31*AU31</f>
        <v>0</v>
      </c>
    </row>
    <row r="32" spans="1:48" ht="15.75" customHeight="1" x14ac:dyDescent="0.2">
      <c r="A32" s="535" t="s">
        <v>1067</v>
      </c>
      <c r="B32" s="48" t="s">
        <v>61</v>
      </c>
      <c r="C32" s="49">
        <v>2100</v>
      </c>
      <c r="D32" s="49">
        <f t="shared" si="0"/>
        <v>2100</v>
      </c>
      <c r="E32" s="50"/>
      <c r="F32" s="50">
        <f t="shared" si="1"/>
        <v>0</v>
      </c>
      <c r="G32" s="50"/>
      <c r="H32" s="50">
        <f t="shared" si="2"/>
        <v>0</v>
      </c>
      <c r="I32" s="50"/>
      <c r="J32" s="50">
        <f t="shared" si="3"/>
        <v>0</v>
      </c>
      <c r="K32" s="50"/>
      <c r="L32" s="50">
        <f t="shared" si="4"/>
        <v>0</v>
      </c>
      <c r="M32" s="50"/>
      <c r="N32" s="50">
        <f t="shared" si="5"/>
        <v>0</v>
      </c>
      <c r="O32" s="50"/>
      <c r="P32" s="50"/>
      <c r="Q32" s="50"/>
      <c r="R32" s="50">
        <f t="shared" si="6"/>
        <v>0</v>
      </c>
      <c r="S32" s="50"/>
      <c r="T32" s="50">
        <f t="shared" si="7"/>
        <v>0</v>
      </c>
      <c r="U32" s="50"/>
      <c r="V32" s="50">
        <f t="shared" si="8"/>
        <v>0</v>
      </c>
      <c r="W32" s="50"/>
      <c r="X32" s="50">
        <f t="shared" si="22"/>
        <v>0</v>
      </c>
      <c r="Y32" s="50"/>
      <c r="Z32" s="50">
        <f t="shared" si="23"/>
        <v>0</v>
      </c>
      <c r="AA32" s="50"/>
      <c r="AB32" s="50">
        <f t="shared" si="24"/>
        <v>0</v>
      </c>
      <c r="AC32" s="50"/>
      <c r="AD32" s="50"/>
      <c r="AE32" s="50"/>
      <c r="AF32" s="50">
        <f t="shared" si="21"/>
        <v>0</v>
      </c>
      <c r="AG32" s="50"/>
      <c r="AH32" s="50">
        <f t="shared" si="25"/>
        <v>0</v>
      </c>
      <c r="AI32" s="50"/>
      <c r="AJ32" s="50">
        <f t="shared" si="26"/>
        <v>0</v>
      </c>
      <c r="AK32" s="50"/>
      <c r="AL32" s="50">
        <f t="shared" si="27"/>
        <v>0</v>
      </c>
      <c r="AM32" s="50"/>
      <c r="AN32" s="50">
        <f t="shared" si="28"/>
        <v>0</v>
      </c>
      <c r="AO32" s="50"/>
      <c r="AP32" s="50">
        <f t="shared" si="29"/>
        <v>0</v>
      </c>
      <c r="AQ32" s="50"/>
      <c r="AR32" s="50">
        <f t="shared" si="30"/>
        <v>0</v>
      </c>
      <c r="AS32" s="50"/>
      <c r="AT32" s="50">
        <f t="shared" si="31"/>
        <v>0</v>
      </c>
    </row>
    <row r="33" spans="1:48" x14ac:dyDescent="0.2">
      <c r="A33" s="47" t="s">
        <v>234</v>
      </c>
      <c r="B33" s="48" t="s">
        <v>378</v>
      </c>
      <c r="C33" s="149">
        <v>1.4</v>
      </c>
      <c r="D33" s="49">
        <f t="shared" si="0"/>
        <v>1.4</v>
      </c>
      <c r="E33" s="50"/>
      <c r="F33" s="50">
        <f t="shared" si="1"/>
        <v>0</v>
      </c>
      <c r="G33" s="50"/>
      <c r="H33" s="50">
        <f t="shared" si="2"/>
        <v>0</v>
      </c>
      <c r="I33" s="50"/>
      <c r="J33" s="50">
        <f t="shared" si="3"/>
        <v>0</v>
      </c>
      <c r="K33" s="50"/>
      <c r="L33" s="50">
        <f t="shared" si="4"/>
        <v>0</v>
      </c>
      <c r="M33" s="50"/>
      <c r="N33" s="50">
        <f t="shared" si="5"/>
        <v>0</v>
      </c>
      <c r="O33" s="50"/>
      <c r="P33" s="50"/>
      <c r="Q33" s="50">
        <v>25</v>
      </c>
      <c r="R33" s="50">
        <f>ROUND((D33*Q33),2)</f>
        <v>35</v>
      </c>
      <c r="S33" s="50">
        <v>14</v>
      </c>
      <c r="T33" s="50">
        <f>ROUND((D33*S33),2)</f>
        <v>19.600000000000001</v>
      </c>
      <c r="U33" s="50">
        <v>11</v>
      </c>
      <c r="V33" s="50">
        <f>ROUND((D33*U33),2)</f>
        <v>15.4</v>
      </c>
      <c r="W33" s="50">
        <v>14</v>
      </c>
      <c r="X33" s="50">
        <f>ROUND((D33*W33),2)</f>
        <v>19.600000000000001</v>
      </c>
      <c r="Y33" s="50">
        <v>11</v>
      </c>
      <c r="Z33" s="50">
        <f>ROUND((D33*Y33),2)</f>
        <v>15.4</v>
      </c>
      <c r="AA33" s="50"/>
      <c r="AB33" s="50">
        <f t="shared" si="24"/>
        <v>0</v>
      </c>
      <c r="AC33" s="50"/>
      <c r="AD33" s="50"/>
      <c r="AE33" s="50"/>
      <c r="AF33" s="50">
        <f t="shared" si="21"/>
        <v>0</v>
      </c>
      <c r="AG33" s="50"/>
      <c r="AH33" s="50">
        <f t="shared" si="25"/>
        <v>0</v>
      </c>
      <c r="AI33" s="50"/>
      <c r="AJ33" s="50">
        <f t="shared" si="26"/>
        <v>0</v>
      </c>
      <c r="AK33" s="50"/>
      <c r="AL33" s="50">
        <f t="shared" si="27"/>
        <v>0</v>
      </c>
      <c r="AM33" s="50"/>
      <c r="AN33" s="50">
        <f t="shared" si="28"/>
        <v>0</v>
      </c>
      <c r="AO33" s="50"/>
      <c r="AP33" s="50">
        <f t="shared" si="29"/>
        <v>0</v>
      </c>
      <c r="AQ33" s="50"/>
      <c r="AR33" s="50">
        <f t="shared" si="30"/>
        <v>0</v>
      </c>
      <c r="AS33" s="50"/>
      <c r="AT33" s="50">
        <f t="shared" si="31"/>
        <v>0</v>
      </c>
    </row>
    <row r="34" spans="1:48" x14ac:dyDescent="0.2">
      <c r="A34" s="47" t="s">
        <v>1062</v>
      </c>
      <c r="B34" s="48" t="s">
        <v>974</v>
      </c>
      <c r="C34" s="149">
        <v>10.59</v>
      </c>
      <c r="D34" s="49">
        <f t="shared" si="0"/>
        <v>10.59</v>
      </c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>
        <v>1</v>
      </c>
      <c r="AB34" s="479">
        <f t="shared" si="24"/>
        <v>10.59</v>
      </c>
      <c r="AC34" s="50"/>
      <c r="AD34" s="50"/>
      <c r="AE34" s="50">
        <v>2</v>
      </c>
      <c r="AF34" s="479">
        <f t="shared" si="21"/>
        <v>21.18</v>
      </c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>
        <v>1</v>
      </c>
      <c r="AT34" s="50">
        <f t="shared" si="31"/>
        <v>10.59</v>
      </c>
    </row>
    <row r="35" spans="1:48" x14ac:dyDescent="0.2">
      <c r="A35" s="466" t="s">
        <v>235</v>
      </c>
      <c r="B35" s="467"/>
      <c r="C35" s="49"/>
      <c r="D35" s="49">
        <f t="shared" si="0"/>
        <v>0</v>
      </c>
      <c r="E35" s="50"/>
      <c r="F35" s="50">
        <f t="shared" si="1"/>
        <v>0</v>
      </c>
      <c r="G35" s="50"/>
      <c r="H35" s="50">
        <f t="shared" si="2"/>
        <v>0</v>
      </c>
      <c r="I35" s="50"/>
      <c r="J35" s="50">
        <f t="shared" si="3"/>
        <v>0</v>
      </c>
      <c r="K35" s="50"/>
      <c r="L35" s="50">
        <f t="shared" si="4"/>
        <v>0</v>
      </c>
      <c r="M35" s="50"/>
      <c r="N35" s="50">
        <f t="shared" si="5"/>
        <v>0</v>
      </c>
      <c r="O35" s="50"/>
      <c r="P35" s="50"/>
      <c r="Q35" s="50"/>
      <c r="R35" s="50">
        <f t="shared" si="6"/>
        <v>0</v>
      </c>
      <c r="S35" s="50"/>
      <c r="T35" s="50">
        <f t="shared" si="7"/>
        <v>0</v>
      </c>
      <c r="U35" s="50"/>
      <c r="V35" s="50">
        <f t="shared" si="8"/>
        <v>0</v>
      </c>
      <c r="W35" s="50"/>
      <c r="X35" s="50">
        <f t="shared" ref="X35:X41" si="32">+D35*W35</f>
        <v>0</v>
      </c>
      <c r="Y35" s="50"/>
      <c r="Z35" s="50">
        <f t="shared" ref="Z35:Z41" si="33">+D35*Y35</f>
        <v>0</v>
      </c>
      <c r="AA35" s="50"/>
      <c r="AB35" s="50">
        <f t="shared" ref="AB35:AB41" si="34">+D35*AA35</f>
        <v>0</v>
      </c>
      <c r="AC35" s="50"/>
      <c r="AD35" s="50"/>
      <c r="AE35" s="50"/>
      <c r="AF35" s="50">
        <f t="shared" si="21"/>
        <v>0</v>
      </c>
      <c r="AG35" s="50"/>
      <c r="AH35" s="50">
        <f t="shared" ref="AH35:AH41" si="35">+D35*AG35</f>
        <v>0</v>
      </c>
      <c r="AI35" s="50"/>
      <c r="AJ35" s="50">
        <f t="shared" ref="AJ35:AJ41" si="36">+D35*AI35</f>
        <v>0</v>
      </c>
      <c r="AK35" s="50"/>
      <c r="AL35" s="50">
        <f t="shared" ref="AL35:AL41" si="37">D35*AK35</f>
        <v>0</v>
      </c>
      <c r="AM35" s="50"/>
      <c r="AN35" s="50">
        <f t="shared" ref="AN35:AN41" si="38">D35*AM35</f>
        <v>0</v>
      </c>
      <c r="AO35" s="50"/>
      <c r="AP35" s="50">
        <f t="shared" ref="AP35:AP41" si="39">+D35*AO35</f>
        <v>0</v>
      </c>
      <c r="AQ35" s="50"/>
      <c r="AR35" s="50">
        <f t="shared" ref="AR35:AR41" si="40">+AQ35*D35</f>
        <v>0</v>
      </c>
      <c r="AS35" s="50"/>
      <c r="AT35" s="50">
        <f t="shared" si="31"/>
        <v>0</v>
      </c>
    </row>
    <row r="36" spans="1:48" ht="15" customHeight="1" x14ac:dyDescent="0.2">
      <c r="A36" s="47" t="s">
        <v>197</v>
      </c>
      <c r="B36" s="48" t="s">
        <v>194</v>
      </c>
      <c r="C36" s="149">
        <v>2.06</v>
      </c>
      <c r="D36" s="49">
        <f t="shared" si="0"/>
        <v>2.06</v>
      </c>
      <c r="E36" s="50"/>
      <c r="F36" s="50">
        <f t="shared" si="1"/>
        <v>0</v>
      </c>
      <c r="G36" s="50"/>
      <c r="H36" s="50">
        <f t="shared" si="2"/>
        <v>0</v>
      </c>
      <c r="I36" s="50"/>
      <c r="J36" s="50">
        <f t="shared" si="3"/>
        <v>0</v>
      </c>
      <c r="K36" s="50"/>
      <c r="L36" s="50">
        <f t="shared" si="4"/>
        <v>0</v>
      </c>
      <c r="M36" s="50"/>
      <c r="N36" s="50">
        <f t="shared" si="5"/>
        <v>0</v>
      </c>
      <c r="O36" s="50"/>
      <c r="P36" s="50"/>
      <c r="Q36" s="50"/>
      <c r="R36" s="50">
        <f t="shared" si="6"/>
        <v>0</v>
      </c>
      <c r="S36" s="50"/>
      <c r="T36" s="50">
        <f t="shared" si="7"/>
        <v>0</v>
      </c>
      <c r="U36" s="50"/>
      <c r="V36" s="50">
        <f t="shared" si="8"/>
        <v>0</v>
      </c>
      <c r="W36" s="50"/>
      <c r="X36" s="50">
        <f t="shared" si="32"/>
        <v>0</v>
      </c>
      <c r="Y36" s="50"/>
      <c r="Z36" s="50">
        <f t="shared" si="33"/>
        <v>0</v>
      </c>
      <c r="AA36" s="50"/>
      <c r="AB36" s="50">
        <f t="shared" si="34"/>
        <v>0</v>
      </c>
      <c r="AC36" s="50"/>
      <c r="AD36" s="50"/>
      <c r="AE36" s="50"/>
      <c r="AF36" s="50">
        <f t="shared" si="21"/>
        <v>0</v>
      </c>
      <c r="AG36" s="50"/>
      <c r="AH36" s="50">
        <f t="shared" si="35"/>
        <v>0</v>
      </c>
      <c r="AI36" s="50"/>
      <c r="AJ36" s="50">
        <f t="shared" si="36"/>
        <v>0</v>
      </c>
      <c r="AK36" s="50"/>
      <c r="AL36" s="50">
        <f t="shared" si="37"/>
        <v>0</v>
      </c>
      <c r="AM36" s="50"/>
      <c r="AN36" s="50">
        <f t="shared" si="38"/>
        <v>0</v>
      </c>
      <c r="AO36" s="50"/>
      <c r="AP36" s="50">
        <f t="shared" si="39"/>
        <v>0</v>
      </c>
      <c r="AQ36" s="50"/>
      <c r="AR36" s="50">
        <f t="shared" si="40"/>
        <v>0</v>
      </c>
      <c r="AS36" s="50"/>
      <c r="AT36" s="50">
        <f t="shared" si="31"/>
        <v>0</v>
      </c>
    </row>
    <row r="37" spans="1:48" ht="15" customHeight="1" x14ac:dyDescent="0.2">
      <c r="A37" s="534" t="s">
        <v>236</v>
      </c>
      <c r="B37" s="48" t="s">
        <v>194</v>
      </c>
      <c r="C37" s="49">
        <v>8.3085519875933649</v>
      </c>
      <c r="D37" s="49">
        <f t="shared" si="0"/>
        <v>8.31</v>
      </c>
      <c r="E37" s="50"/>
      <c r="F37" s="50">
        <f t="shared" si="1"/>
        <v>0</v>
      </c>
      <c r="G37" s="50"/>
      <c r="H37" s="50">
        <f t="shared" si="2"/>
        <v>0</v>
      </c>
      <c r="I37" s="50"/>
      <c r="J37" s="50">
        <f t="shared" si="3"/>
        <v>0</v>
      </c>
      <c r="K37" s="50"/>
      <c r="L37" s="50">
        <f t="shared" si="4"/>
        <v>0</v>
      </c>
      <c r="M37" s="50"/>
      <c r="N37" s="50">
        <f t="shared" si="5"/>
        <v>0</v>
      </c>
      <c r="O37" s="50"/>
      <c r="P37" s="50"/>
      <c r="Q37" s="50"/>
      <c r="R37" s="50">
        <f t="shared" si="6"/>
        <v>0</v>
      </c>
      <c r="S37" s="50"/>
      <c r="T37" s="50">
        <f t="shared" si="7"/>
        <v>0</v>
      </c>
      <c r="U37" s="50"/>
      <c r="V37" s="50">
        <f t="shared" si="8"/>
        <v>0</v>
      </c>
      <c r="W37" s="50"/>
      <c r="X37" s="50">
        <f t="shared" si="32"/>
        <v>0</v>
      </c>
      <c r="Y37" s="50"/>
      <c r="Z37" s="50">
        <f t="shared" si="33"/>
        <v>0</v>
      </c>
      <c r="AA37" s="50">
        <v>6</v>
      </c>
      <c r="AB37" s="479">
        <f t="shared" si="34"/>
        <v>49.86</v>
      </c>
      <c r="AC37" s="50"/>
      <c r="AD37" s="50"/>
      <c r="AE37" s="50"/>
      <c r="AF37" s="50">
        <f t="shared" si="21"/>
        <v>0</v>
      </c>
      <c r="AG37" s="50"/>
      <c r="AH37" s="50">
        <f t="shared" si="35"/>
        <v>0</v>
      </c>
      <c r="AI37" s="50"/>
      <c r="AJ37" s="50">
        <f t="shared" si="36"/>
        <v>0</v>
      </c>
      <c r="AK37" s="50"/>
      <c r="AL37" s="50">
        <f t="shared" si="37"/>
        <v>0</v>
      </c>
      <c r="AM37" s="50"/>
      <c r="AN37" s="50">
        <f t="shared" si="38"/>
        <v>0</v>
      </c>
      <c r="AO37" s="50"/>
      <c r="AP37" s="50">
        <f t="shared" si="39"/>
        <v>0</v>
      </c>
      <c r="AQ37" s="50"/>
      <c r="AR37" s="50">
        <f t="shared" si="40"/>
        <v>0</v>
      </c>
      <c r="AS37" s="50">
        <v>6</v>
      </c>
      <c r="AT37" s="50">
        <f t="shared" si="31"/>
        <v>49.86</v>
      </c>
    </row>
    <row r="38" spans="1:48" ht="15" customHeight="1" x14ac:dyDescent="0.2">
      <c r="A38" s="466" t="s">
        <v>237</v>
      </c>
      <c r="B38" s="48"/>
      <c r="C38" s="49"/>
      <c r="D38" s="49">
        <f t="shared" si="0"/>
        <v>0</v>
      </c>
      <c r="E38" s="50"/>
      <c r="F38" s="50">
        <f t="shared" si="1"/>
        <v>0</v>
      </c>
      <c r="G38" s="50"/>
      <c r="H38" s="50">
        <f t="shared" si="2"/>
        <v>0</v>
      </c>
      <c r="I38" s="50"/>
      <c r="J38" s="50">
        <f t="shared" si="3"/>
        <v>0</v>
      </c>
      <c r="K38" s="50"/>
      <c r="L38" s="50">
        <f t="shared" si="4"/>
        <v>0</v>
      </c>
      <c r="M38" s="50"/>
      <c r="N38" s="50">
        <f t="shared" si="5"/>
        <v>0</v>
      </c>
      <c r="O38" s="50"/>
      <c r="P38" s="50"/>
      <c r="Q38" s="50"/>
      <c r="R38" s="50">
        <f t="shared" si="6"/>
        <v>0</v>
      </c>
      <c r="S38" s="50"/>
      <c r="T38" s="50">
        <f t="shared" si="7"/>
        <v>0</v>
      </c>
      <c r="U38" s="50"/>
      <c r="V38" s="50">
        <f t="shared" si="8"/>
        <v>0</v>
      </c>
      <c r="W38" s="50"/>
      <c r="X38" s="50">
        <f t="shared" si="32"/>
        <v>0</v>
      </c>
      <c r="Y38" s="50"/>
      <c r="Z38" s="50">
        <f t="shared" si="33"/>
        <v>0</v>
      </c>
      <c r="AA38" s="50"/>
      <c r="AB38" s="50">
        <f t="shared" si="34"/>
        <v>0</v>
      </c>
      <c r="AC38" s="50"/>
      <c r="AD38" s="50"/>
      <c r="AE38" s="50"/>
      <c r="AF38" s="50">
        <f t="shared" si="21"/>
        <v>0</v>
      </c>
      <c r="AG38" s="50"/>
      <c r="AH38" s="50">
        <f t="shared" si="35"/>
        <v>0</v>
      </c>
      <c r="AI38" s="50"/>
      <c r="AJ38" s="50">
        <f t="shared" si="36"/>
        <v>0</v>
      </c>
      <c r="AK38" s="50"/>
      <c r="AL38" s="50">
        <f t="shared" si="37"/>
        <v>0</v>
      </c>
      <c r="AM38" s="50"/>
      <c r="AN38" s="50">
        <f t="shared" si="38"/>
        <v>0</v>
      </c>
      <c r="AO38" s="50"/>
      <c r="AP38" s="50">
        <f t="shared" si="39"/>
        <v>0</v>
      </c>
      <c r="AQ38" s="50"/>
      <c r="AR38" s="50">
        <f t="shared" si="40"/>
        <v>0</v>
      </c>
      <c r="AS38" s="50"/>
      <c r="AT38" s="50">
        <f t="shared" si="31"/>
        <v>0</v>
      </c>
    </row>
    <row r="39" spans="1:48" ht="15" customHeight="1" x14ac:dyDescent="0.2">
      <c r="A39" s="47" t="s">
        <v>1010</v>
      </c>
      <c r="B39" s="48" t="s">
        <v>227</v>
      </c>
      <c r="C39" s="149">
        <v>5.3823755332364893</v>
      </c>
      <c r="D39" s="49">
        <f t="shared" ref="D39:D115" si="41">ROUND((C39*(1+D$4)),2)</f>
        <v>5.38</v>
      </c>
      <c r="E39" s="50"/>
      <c r="F39" s="50">
        <f t="shared" ref="F39:F114" si="42">+D39*E39</f>
        <v>0</v>
      </c>
      <c r="G39" s="50"/>
      <c r="H39" s="50">
        <f t="shared" ref="H39:H114" si="43">+D39*G39</f>
        <v>0</v>
      </c>
      <c r="I39" s="50"/>
      <c r="J39" s="50">
        <f t="shared" ref="J39:J114" si="44">+D39*I39</f>
        <v>0</v>
      </c>
      <c r="K39" s="50"/>
      <c r="L39" s="50">
        <f t="shared" ref="L39:L114" si="45">+D39*K39</f>
        <v>0</v>
      </c>
      <c r="M39" s="50"/>
      <c r="N39" s="50">
        <f t="shared" ref="N39:N114" si="46">+D39*M39</f>
        <v>0</v>
      </c>
      <c r="O39" s="50"/>
      <c r="P39" s="50"/>
      <c r="Q39" s="50">
        <v>4</v>
      </c>
      <c r="R39" s="50">
        <f t="shared" ref="R39:R114" si="47">+D39*Q39</f>
        <v>21.52</v>
      </c>
      <c r="S39" s="50">
        <v>3</v>
      </c>
      <c r="T39" s="50">
        <f t="shared" ref="T39:T114" si="48">+D39*S39</f>
        <v>16.14</v>
      </c>
      <c r="U39" s="50">
        <v>1</v>
      </c>
      <c r="V39" s="50">
        <f t="shared" ref="V39:V114" si="49">+D39*U39</f>
        <v>5.38</v>
      </c>
      <c r="W39" s="50">
        <v>3</v>
      </c>
      <c r="X39" s="50">
        <f t="shared" si="32"/>
        <v>16.14</v>
      </c>
      <c r="Y39" s="50">
        <v>1</v>
      </c>
      <c r="Z39" s="50">
        <f t="shared" si="33"/>
        <v>5.38</v>
      </c>
      <c r="AA39" s="50"/>
      <c r="AB39" s="50">
        <f t="shared" si="34"/>
        <v>0</v>
      </c>
      <c r="AC39" s="50"/>
      <c r="AD39" s="50"/>
      <c r="AE39" s="50"/>
      <c r="AF39" s="50">
        <f t="shared" si="21"/>
        <v>0</v>
      </c>
      <c r="AG39" s="50"/>
      <c r="AH39" s="50">
        <f t="shared" si="35"/>
        <v>0</v>
      </c>
      <c r="AI39" s="50"/>
      <c r="AJ39" s="50">
        <f t="shared" si="36"/>
        <v>0</v>
      </c>
      <c r="AK39" s="50"/>
      <c r="AL39" s="50">
        <f t="shared" si="37"/>
        <v>0</v>
      </c>
      <c r="AM39" s="50"/>
      <c r="AN39" s="50">
        <f t="shared" si="38"/>
        <v>0</v>
      </c>
      <c r="AO39" s="50"/>
      <c r="AP39" s="50">
        <f t="shared" si="39"/>
        <v>0</v>
      </c>
      <c r="AQ39" s="50"/>
      <c r="AR39" s="50">
        <f t="shared" si="40"/>
        <v>0</v>
      </c>
      <c r="AS39" s="50"/>
      <c r="AT39" s="50">
        <f t="shared" si="31"/>
        <v>0</v>
      </c>
    </row>
    <row r="40" spans="1:48" ht="15" customHeight="1" x14ac:dyDescent="0.2">
      <c r="A40" s="47" t="s">
        <v>238</v>
      </c>
      <c r="B40" s="48" t="s">
        <v>227</v>
      </c>
      <c r="C40" s="149">
        <v>9.2619548207527647</v>
      </c>
      <c r="D40" s="49">
        <f t="shared" si="41"/>
        <v>9.26</v>
      </c>
      <c r="E40" s="50"/>
      <c r="F40" s="50">
        <f t="shared" si="42"/>
        <v>0</v>
      </c>
      <c r="G40" s="50"/>
      <c r="H40" s="50">
        <f t="shared" si="43"/>
        <v>0</v>
      </c>
      <c r="I40" s="50"/>
      <c r="J40" s="50">
        <f t="shared" si="44"/>
        <v>0</v>
      </c>
      <c r="K40" s="50"/>
      <c r="L40" s="50">
        <f t="shared" si="45"/>
        <v>0</v>
      </c>
      <c r="M40" s="50"/>
      <c r="N40" s="50">
        <f t="shared" si="46"/>
        <v>0</v>
      </c>
      <c r="O40" s="50"/>
      <c r="P40" s="50"/>
      <c r="Q40" s="50"/>
      <c r="R40" s="50">
        <f t="shared" si="47"/>
        <v>0</v>
      </c>
      <c r="S40" s="50"/>
      <c r="T40" s="50">
        <f t="shared" si="48"/>
        <v>0</v>
      </c>
      <c r="U40" s="50"/>
      <c r="V40" s="50">
        <f t="shared" si="49"/>
        <v>0</v>
      </c>
      <c r="W40" s="50"/>
      <c r="X40" s="50">
        <f t="shared" si="32"/>
        <v>0</v>
      </c>
      <c r="Y40" s="50"/>
      <c r="Z40" s="50">
        <f t="shared" si="33"/>
        <v>0</v>
      </c>
      <c r="AA40" s="50"/>
      <c r="AB40" s="50">
        <f t="shared" si="34"/>
        <v>0</v>
      </c>
      <c r="AC40" s="50"/>
      <c r="AD40" s="50"/>
      <c r="AE40" s="50"/>
      <c r="AF40" s="50">
        <f t="shared" si="21"/>
        <v>0</v>
      </c>
      <c r="AG40" s="50"/>
      <c r="AH40" s="50">
        <f t="shared" si="35"/>
        <v>0</v>
      </c>
      <c r="AI40" s="50"/>
      <c r="AJ40" s="50">
        <f t="shared" si="36"/>
        <v>0</v>
      </c>
      <c r="AK40" s="50"/>
      <c r="AL40" s="50">
        <f t="shared" si="37"/>
        <v>0</v>
      </c>
      <c r="AM40" s="50"/>
      <c r="AN40" s="50">
        <f t="shared" si="38"/>
        <v>0</v>
      </c>
      <c r="AO40" s="50"/>
      <c r="AP40" s="50">
        <f t="shared" si="39"/>
        <v>0</v>
      </c>
      <c r="AQ40" s="50"/>
      <c r="AR40" s="50">
        <f t="shared" si="40"/>
        <v>0</v>
      </c>
      <c r="AS40" s="50"/>
      <c r="AT40" s="50">
        <f t="shared" si="31"/>
        <v>0</v>
      </c>
      <c r="AV40" s="27">
        <f>D40*AU40</f>
        <v>0</v>
      </c>
    </row>
    <row r="41" spans="1:48" ht="15" customHeight="1" x14ac:dyDescent="0.2">
      <c r="A41" s="47" t="s">
        <v>239</v>
      </c>
      <c r="B41" s="48" t="s">
        <v>227</v>
      </c>
      <c r="C41" s="149">
        <v>11.353751530666479</v>
      </c>
      <c r="D41" s="49">
        <f t="shared" si="41"/>
        <v>11.35</v>
      </c>
      <c r="E41" s="50"/>
      <c r="F41" s="50">
        <f t="shared" si="42"/>
        <v>0</v>
      </c>
      <c r="G41" s="50"/>
      <c r="H41" s="50">
        <f t="shared" si="43"/>
        <v>0</v>
      </c>
      <c r="I41" s="50"/>
      <c r="J41" s="50">
        <f t="shared" si="44"/>
        <v>0</v>
      </c>
      <c r="K41" s="50"/>
      <c r="L41" s="50">
        <f t="shared" si="45"/>
        <v>0</v>
      </c>
      <c r="M41" s="50"/>
      <c r="N41" s="50">
        <f t="shared" si="46"/>
        <v>0</v>
      </c>
      <c r="O41" s="50"/>
      <c r="P41" s="50"/>
      <c r="Q41" s="50"/>
      <c r="R41" s="50">
        <f t="shared" si="47"/>
        <v>0</v>
      </c>
      <c r="S41" s="50"/>
      <c r="T41" s="50">
        <f t="shared" si="48"/>
        <v>0</v>
      </c>
      <c r="U41" s="50"/>
      <c r="V41" s="50">
        <f t="shared" si="49"/>
        <v>0</v>
      </c>
      <c r="W41" s="50"/>
      <c r="X41" s="50">
        <f t="shared" si="32"/>
        <v>0</v>
      </c>
      <c r="Y41" s="50"/>
      <c r="Z41" s="50">
        <f t="shared" si="33"/>
        <v>0</v>
      </c>
      <c r="AA41" s="50"/>
      <c r="AB41" s="50">
        <f t="shared" si="34"/>
        <v>0</v>
      </c>
      <c r="AC41" s="50"/>
      <c r="AD41" s="50"/>
      <c r="AE41" s="50"/>
      <c r="AF41" s="50">
        <f t="shared" si="21"/>
        <v>0</v>
      </c>
      <c r="AG41" s="50"/>
      <c r="AH41" s="50">
        <f t="shared" si="35"/>
        <v>0</v>
      </c>
      <c r="AI41" s="50"/>
      <c r="AJ41" s="50">
        <f t="shared" si="36"/>
        <v>0</v>
      </c>
      <c r="AK41" s="50"/>
      <c r="AL41" s="50">
        <f t="shared" si="37"/>
        <v>0</v>
      </c>
      <c r="AM41" s="50"/>
      <c r="AN41" s="50">
        <f t="shared" si="38"/>
        <v>0</v>
      </c>
      <c r="AO41" s="50"/>
      <c r="AP41" s="50">
        <f t="shared" si="39"/>
        <v>0</v>
      </c>
      <c r="AQ41" s="50"/>
      <c r="AR41" s="50">
        <f t="shared" si="40"/>
        <v>0</v>
      </c>
      <c r="AS41" s="50"/>
      <c r="AT41" s="50">
        <f t="shared" si="31"/>
        <v>0</v>
      </c>
      <c r="AV41" s="27">
        <f>D41*AU41</f>
        <v>0</v>
      </c>
    </row>
    <row r="42" spans="1:48" ht="15" customHeight="1" x14ac:dyDescent="0.2">
      <c r="A42" s="535" t="s">
        <v>1069</v>
      </c>
      <c r="B42" s="48" t="s">
        <v>227</v>
      </c>
      <c r="C42" s="49">
        <v>12.878399999999999</v>
      </c>
      <c r="D42" s="49">
        <f t="shared" si="41"/>
        <v>12.88</v>
      </c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</row>
    <row r="43" spans="1:48" ht="15" customHeight="1" x14ac:dyDescent="0.2">
      <c r="A43" s="535" t="s">
        <v>1070</v>
      </c>
      <c r="B43" s="48" t="s">
        <v>227</v>
      </c>
      <c r="C43" s="49">
        <v>14.878399999999999</v>
      </c>
      <c r="D43" s="49">
        <f t="shared" si="41"/>
        <v>14.88</v>
      </c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</row>
    <row r="44" spans="1:48" ht="15" customHeight="1" x14ac:dyDescent="0.2">
      <c r="A44" s="466" t="s">
        <v>240</v>
      </c>
      <c r="B44" s="467"/>
      <c r="C44" s="49"/>
      <c r="D44" s="49">
        <f t="shared" si="41"/>
        <v>0</v>
      </c>
      <c r="E44" s="50"/>
      <c r="F44" s="50">
        <f t="shared" si="42"/>
        <v>0</v>
      </c>
      <c r="G44" s="50"/>
      <c r="H44" s="50">
        <f t="shared" si="43"/>
        <v>0</v>
      </c>
      <c r="I44" s="50"/>
      <c r="J44" s="50">
        <f t="shared" si="44"/>
        <v>0</v>
      </c>
      <c r="K44" s="50"/>
      <c r="L44" s="50">
        <f t="shared" si="45"/>
        <v>0</v>
      </c>
      <c r="M44" s="50"/>
      <c r="N44" s="50">
        <f t="shared" si="46"/>
        <v>0</v>
      </c>
      <c r="O44" s="50"/>
      <c r="P44" s="50"/>
      <c r="Q44" s="50"/>
      <c r="R44" s="50">
        <f t="shared" si="47"/>
        <v>0</v>
      </c>
      <c r="S44" s="50"/>
      <c r="T44" s="50">
        <f t="shared" si="48"/>
        <v>0</v>
      </c>
      <c r="U44" s="50"/>
      <c r="V44" s="50">
        <f t="shared" si="49"/>
        <v>0</v>
      </c>
      <c r="W44" s="50"/>
      <c r="X44" s="50">
        <f>+D44*W44</f>
        <v>0</v>
      </c>
      <c r="Y44" s="50"/>
      <c r="Z44" s="50">
        <f>+D44*Y44</f>
        <v>0</v>
      </c>
      <c r="AA44" s="50"/>
      <c r="AB44" s="50">
        <f>+D44*AA44</f>
        <v>0</v>
      </c>
      <c r="AC44" s="50"/>
      <c r="AD44" s="50"/>
      <c r="AE44" s="50"/>
      <c r="AF44" s="50">
        <f>+D44*AE44</f>
        <v>0</v>
      </c>
      <c r="AG44" s="50"/>
      <c r="AH44" s="50">
        <f>+D44*AG44</f>
        <v>0</v>
      </c>
      <c r="AI44" s="50"/>
      <c r="AJ44" s="50">
        <f>+D44*AI44</f>
        <v>0</v>
      </c>
      <c r="AK44" s="50"/>
      <c r="AL44" s="50">
        <f>D44*AK44</f>
        <v>0</v>
      </c>
      <c r="AM44" s="50"/>
      <c r="AN44" s="50">
        <f>D44*AM44</f>
        <v>0</v>
      </c>
      <c r="AO44" s="50"/>
      <c r="AP44" s="50">
        <f>+D44*AO44</f>
        <v>0</v>
      </c>
      <c r="AQ44" s="50"/>
      <c r="AR44" s="50">
        <f>+AQ44*D44</f>
        <v>0</v>
      </c>
      <c r="AS44" s="50"/>
      <c r="AT44" s="50">
        <f>+D44*AS44</f>
        <v>0</v>
      </c>
    </row>
    <row r="45" spans="1:48" ht="15" customHeight="1" x14ac:dyDescent="0.2">
      <c r="A45" s="47" t="s">
        <v>1071</v>
      </c>
      <c r="B45" s="48" t="s">
        <v>227</v>
      </c>
      <c r="C45" s="149">
        <v>12.657705778142258</v>
      </c>
      <c r="D45" s="49">
        <f t="shared" si="41"/>
        <v>12.66</v>
      </c>
      <c r="E45" s="50"/>
      <c r="F45" s="50">
        <f t="shared" si="42"/>
        <v>0</v>
      </c>
      <c r="G45" s="50"/>
      <c r="H45" s="50">
        <f t="shared" si="43"/>
        <v>0</v>
      </c>
      <c r="I45" s="50"/>
      <c r="J45" s="50">
        <f t="shared" si="44"/>
        <v>0</v>
      </c>
      <c r="K45" s="50"/>
      <c r="L45" s="50">
        <f t="shared" si="45"/>
        <v>0</v>
      </c>
      <c r="M45" s="50"/>
      <c r="N45" s="50">
        <f t="shared" si="46"/>
        <v>0</v>
      </c>
      <c r="O45" s="50"/>
      <c r="P45" s="50"/>
      <c r="Q45" s="50"/>
      <c r="R45" s="50">
        <f t="shared" si="47"/>
        <v>0</v>
      </c>
      <c r="S45" s="50"/>
      <c r="T45" s="50">
        <f t="shared" si="48"/>
        <v>0</v>
      </c>
      <c r="U45" s="50"/>
      <c r="V45" s="50">
        <f t="shared" si="49"/>
        <v>0</v>
      </c>
      <c r="W45" s="50"/>
      <c r="X45" s="50">
        <f>+D45*W45</f>
        <v>0</v>
      </c>
      <c r="Y45" s="50"/>
      <c r="Z45" s="50">
        <f>+D45*Y45</f>
        <v>0</v>
      </c>
      <c r="AA45" s="50">
        <v>1</v>
      </c>
      <c r="AB45" s="479">
        <f>+D45*AA45</f>
        <v>12.66</v>
      </c>
      <c r="AC45" s="50">
        <v>1</v>
      </c>
      <c r="AD45" s="50">
        <f>D45*AC45</f>
        <v>12.66</v>
      </c>
      <c r="AE45" s="50"/>
      <c r="AF45" s="50">
        <f>+D45*AE45</f>
        <v>0</v>
      </c>
      <c r="AG45" s="50"/>
      <c r="AH45" s="50">
        <f>+D45*AG45</f>
        <v>0</v>
      </c>
      <c r="AI45" s="50"/>
      <c r="AJ45" s="50">
        <f>+D45*AI45</f>
        <v>0</v>
      </c>
      <c r="AK45" s="50"/>
      <c r="AL45" s="50">
        <f>D45*AK45</f>
        <v>0</v>
      </c>
      <c r="AM45" s="50"/>
      <c r="AN45" s="50">
        <f>D45*AM45</f>
        <v>0</v>
      </c>
      <c r="AO45" s="50"/>
      <c r="AP45" s="50">
        <f>+D45*AO45</f>
        <v>0</v>
      </c>
      <c r="AQ45" s="50"/>
      <c r="AR45" s="50">
        <f>+AQ45*D45</f>
        <v>0</v>
      </c>
      <c r="AS45" s="50"/>
      <c r="AT45" s="50">
        <f>+D45*AS45</f>
        <v>0</v>
      </c>
    </row>
    <row r="46" spans="1:48" ht="15" customHeight="1" x14ac:dyDescent="0.2">
      <c r="A46" s="47" t="s">
        <v>386</v>
      </c>
      <c r="B46" s="48" t="s">
        <v>227</v>
      </c>
      <c r="C46" s="149">
        <v>4.2253732653876908</v>
      </c>
      <c r="D46" s="49">
        <f t="shared" si="41"/>
        <v>4.2300000000000004</v>
      </c>
      <c r="E46" s="50"/>
      <c r="F46" s="50">
        <f t="shared" si="42"/>
        <v>0</v>
      </c>
      <c r="G46" s="50"/>
      <c r="H46" s="50">
        <f t="shared" si="43"/>
        <v>0</v>
      </c>
      <c r="I46" s="50"/>
      <c r="J46" s="50">
        <f t="shared" si="44"/>
        <v>0</v>
      </c>
      <c r="K46" s="50"/>
      <c r="L46" s="50">
        <f t="shared" si="45"/>
        <v>0</v>
      </c>
      <c r="M46" s="50"/>
      <c r="N46" s="50">
        <f t="shared" si="46"/>
        <v>0</v>
      </c>
      <c r="O46" s="50"/>
      <c r="P46" s="50"/>
      <c r="Q46" s="50"/>
      <c r="R46" s="50">
        <f t="shared" si="47"/>
        <v>0</v>
      </c>
      <c r="S46" s="50"/>
      <c r="T46" s="50">
        <f t="shared" si="48"/>
        <v>0</v>
      </c>
      <c r="U46" s="50"/>
      <c r="V46" s="50">
        <f t="shared" si="49"/>
        <v>0</v>
      </c>
      <c r="W46" s="50"/>
      <c r="X46" s="50">
        <f>+D46*W46</f>
        <v>0</v>
      </c>
      <c r="Y46" s="50"/>
      <c r="Z46" s="50">
        <f>+D46*Y46</f>
        <v>0</v>
      </c>
      <c r="AA46" s="50">
        <v>13</v>
      </c>
      <c r="AB46" s="479">
        <f>+D46*AA46</f>
        <v>54.990000000000009</v>
      </c>
      <c r="AC46" s="50"/>
      <c r="AD46" s="50"/>
      <c r="AE46" s="50"/>
      <c r="AF46" s="50">
        <f>+D46*AE46</f>
        <v>0</v>
      </c>
      <c r="AG46" s="50"/>
      <c r="AH46" s="50">
        <f>+D46*AG46</f>
        <v>0</v>
      </c>
      <c r="AI46" s="50"/>
      <c r="AJ46" s="50">
        <f>+D46*AI46</f>
        <v>0</v>
      </c>
      <c r="AK46" s="50"/>
      <c r="AL46" s="50">
        <f>D46*AK46</f>
        <v>0</v>
      </c>
      <c r="AM46" s="50"/>
      <c r="AN46" s="50">
        <f>D46*AM46</f>
        <v>0</v>
      </c>
      <c r="AO46" s="50"/>
      <c r="AP46" s="50">
        <f>+D46*AO46</f>
        <v>0</v>
      </c>
      <c r="AQ46" s="50"/>
      <c r="AR46" s="50">
        <f>+AQ46*D46</f>
        <v>0</v>
      </c>
      <c r="AS46" s="50"/>
      <c r="AT46" s="50">
        <f>+D46*AS46</f>
        <v>0</v>
      </c>
      <c r="AV46" s="27">
        <f>D46*AU46</f>
        <v>0</v>
      </c>
    </row>
    <row r="47" spans="1:48" ht="15" customHeight="1" x14ac:dyDescent="0.2">
      <c r="A47" s="47" t="s">
        <v>1068</v>
      </c>
      <c r="B47" s="48" t="s">
        <v>194</v>
      </c>
      <c r="C47" s="149">
        <v>1.929289090909091</v>
      </c>
      <c r="D47" s="49">
        <f t="shared" si="41"/>
        <v>1.93</v>
      </c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>
        <v>2</v>
      </c>
      <c r="AD47" s="479">
        <f>D47*AC47</f>
        <v>3.86</v>
      </c>
      <c r="AE47" s="50"/>
      <c r="AF47" s="50"/>
      <c r="AG47" s="50"/>
      <c r="AH47" s="50"/>
      <c r="AI47" s="50"/>
      <c r="AJ47" s="50"/>
      <c r="AK47" s="50"/>
      <c r="AL47" s="50">
        <f>D47*AK47</f>
        <v>0</v>
      </c>
      <c r="AM47" s="50"/>
      <c r="AN47" s="50">
        <f>D47*AM47</f>
        <v>0</v>
      </c>
      <c r="AO47" s="50"/>
      <c r="AP47" s="50"/>
      <c r="AQ47" s="50"/>
      <c r="AR47" s="50"/>
      <c r="AS47" s="50"/>
      <c r="AT47" s="50"/>
      <c r="AV47" s="27">
        <f>D47*AU47</f>
        <v>0</v>
      </c>
    </row>
    <row r="48" spans="1:48" ht="15" customHeight="1" x14ac:dyDescent="0.2">
      <c r="A48" s="47" t="s">
        <v>1017</v>
      </c>
      <c r="B48" s="48" t="s">
        <v>227</v>
      </c>
      <c r="C48" s="149">
        <v>9.1378809103291321</v>
      </c>
      <c r="D48" s="49">
        <f t="shared" si="41"/>
        <v>9.14</v>
      </c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>
        <v>1</v>
      </c>
      <c r="AD48" s="479">
        <f>D48*AC48</f>
        <v>9.14</v>
      </c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</row>
    <row r="49" spans="1:48" ht="15" customHeight="1" x14ac:dyDescent="0.2">
      <c r="A49" s="536" t="s">
        <v>1036</v>
      </c>
      <c r="B49" s="48" t="s">
        <v>227</v>
      </c>
      <c r="C49" s="49">
        <v>0.65</v>
      </c>
      <c r="D49" s="49">
        <f t="shared" si="41"/>
        <v>0.65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>
        <v>2</v>
      </c>
      <c r="AD49" s="479">
        <f>D49*AC49</f>
        <v>1.3</v>
      </c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</row>
    <row r="50" spans="1:48" ht="15" customHeight="1" x14ac:dyDescent="0.2">
      <c r="A50" s="466" t="s">
        <v>774</v>
      </c>
      <c r="B50" s="48"/>
      <c r="C50" s="49"/>
      <c r="D50" s="49">
        <f t="shared" si="41"/>
        <v>0</v>
      </c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>
        <f>D50*AK50</f>
        <v>0</v>
      </c>
      <c r="AM50" s="50"/>
      <c r="AN50" s="50">
        <f>D50*AM50</f>
        <v>0</v>
      </c>
      <c r="AO50" s="50"/>
      <c r="AP50" s="50"/>
      <c r="AQ50" s="50"/>
      <c r="AR50" s="50"/>
      <c r="AS50" s="50"/>
      <c r="AT50" s="50"/>
      <c r="AV50" s="27">
        <f>D50*AU50</f>
        <v>0</v>
      </c>
    </row>
    <row r="51" spans="1:48" ht="15" customHeight="1" x14ac:dyDescent="0.2">
      <c r="A51" s="535" t="s">
        <v>775</v>
      </c>
      <c r="B51" s="48" t="s">
        <v>227</v>
      </c>
      <c r="C51" s="49">
        <v>12.6</v>
      </c>
      <c r="D51" s="49">
        <f t="shared" si="41"/>
        <v>12.6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>
        <f>D51*AK51</f>
        <v>0</v>
      </c>
      <c r="AM51" s="50"/>
      <c r="AN51" s="50">
        <f>D51*AM51</f>
        <v>0</v>
      </c>
      <c r="AO51" s="50"/>
      <c r="AP51" s="50"/>
      <c r="AQ51" s="50"/>
      <c r="AR51" s="50"/>
      <c r="AS51" s="50"/>
      <c r="AT51" s="50"/>
      <c r="AU51" s="27">
        <v>1</v>
      </c>
      <c r="AV51" s="27">
        <f>D51*AU51</f>
        <v>12.6</v>
      </c>
    </row>
    <row r="52" spans="1:48" ht="15" customHeight="1" x14ac:dyDescent="0.2">
      <c r="A52" s="535" t="s">
        <v>776</v>
      </c>
      <c r="B52" s="48" t="s">
        <v>227</v>
      </c>
      <c r="C52" s="49">
        <v>14.85</v>
      </c>
      <c r="D52" s="49">
        <f t="shared" si="41"/>
        <v>14.85</v>
      </c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>
        <f>D52*AK52</f>
        <v>0</v>
      </c>
      <c r="AM52" s="50"/>
      <c r="AN52" s="50">
        <f>D52*AM52</f>
        <v>0</v>
      </c>
      <c r="AO52" s="50"/>
      <c r="AP52" s="50"/>
      <c r="AQ52" s="50"/>
      <c r="AR52" s="50"/>
      <c r="AS52" s="50"/>
      <c r="AT52" s="50"/>
      <c r="AU52" s="27">
        <v>1</v>
      </c>
      <c r="AV52" s="27">
        <f>D52*AU52</f>
        <v>14.85</v>
      </c>
    </row>
    <row r="53" spans="1:48" ht="15" customHeight="1" x14ac:dyDescent="0.2">
      <c r="A53" s="466" t="s">
        <v>75</v>
      </c>
      <c r="B53" s="467"/>
      <c r="C53" s="49"/>
      <c r="D53" s="49">
        <f t="shared" si="41"/>
        <v>0</v>
      </c>
      <c r="E53" s="50"/>
      <c r="F53" s="50">
        <f t="shared" si="42"/>
        <v>0</v>
      </c>
      <c r="G53" s="50"/>
      <c r="H53" s="50">
        <f t="shared" si="43"/>
        <v>0</v>
      </c>
      <c r="I53" s="50"/>
      <c r="J53" s="50">
        <f t="shared" si="44"/>
        <v>0</v>
      </c>
      <c r="K53" s="50"/>
      <c r="L53" s="50">
        <f t="shared" si="45"/>
        <v>0</v>
      </c>
      <c r="M53" s="50"/>
      <c r="N53" s="50">
        <f t="shared" si="46"/>
        <v>0</v>
      </c>
      <c r="O53" s="50"/>
      <c r="P53" s="50"/>
      <c r="Q53" s="50"/>
      <c r="R53" s="50">
        <f t="shared" si="47"/>
        <v>0</v>
      </c>
      <c r="S53" s="50"/>
      <c r="T53" s="50">
        <f t="shared" si="48"/>
        <v>0</v>
      </c>
      <c r="U53" s="50"/>
      <c r="V53" s="50">
        <f t="shared" si="49"/>
        <v>0</v>
      </c>
      <c r="W53" s="50"/>
      <c r="X53" s="50">
        <f>+D53*W53</f>
        <v>0</v>
      </c>
      <c r="Y53" s="50"/>
      <c r="Z53" s="50">
        <f>+D53*Y53</f>
        <v>0</v>
      </c>
      <c r="AA53" s="50"/>
      <c r="AB53" s="50">
        <f>+D53*AA53</f>
        <v>0</v>
      </c>
      <c r="AC53" s="50"/>
      <c r="AD53" s="50"/>
      <c r="AE53" s="50"/>
      <c r="AF53" s="50">
        <f>+D53*AE53</f>
        <v>0</v>
      </c>
      <c r="AG53" s="50"/>
      <c r="AH53" s="50">
        <f>+D53*AG53</f>
        <v>0</v>
      </c>
      <c r="AI53" s="50"/>
      <c r="AJ53" s="50">
        <f>+D53*AI53</f>
        <v>0</v>
      </c>
      <c r="AK53" s="50"/>
      <c r="AL53" s="50">
        <f>D53*AK53</f>
        <v>0</v>
      </c>
      <c r="AM53" s="50"/>
      <c r="AN53" s="50">
        <f>D53*AM53</f>
        <v>0</v>
      </c>
      <c r="AO53" s="50"/>
      <c r="AP53" s="50">
        <f>+D53*AO53</f>
        <v>0</v>
      </c>
      <c r="AQ53" s="50"/>
      <c r="AR53" s="50">
        <f>+AQ53*D53</f>
        <v>0</v>
      </c>
      <c r="AS53" s="50"/>
      <c r="AT53" s="50">
        <f>+D53*AS53</f>
        <v>0</v>
      </c>
      <c r="AV53" s="27">
        <f>D53*AU53</f>
        <v>0</v>
      </c>
    </row>
    <row r="54" spans="1:48" ht="15" customHeight="1" x14ac:dyDescent="0.2">
      <c r="A54" s="47" t="s">
        <v>438</v>
      </c>
      <c r="B54" s="48" t="s">
        <v>227</v>
      </c>
      <c r="C54" s="149">
        <v>205.52911884998375</v>
      </c>
      <c r="D54" s="49">
        <f t="shared" si="41"/>
        <v>205.53</v>
      </c>
      <c r="E54" s="50"/>
      <c r="F54" s="50">
        <f t="shared" si="42"/>
        <v>0</v>
      </c>
      <c r="G54" s="50"/>
      <c r="H54" s="50">
        <f t="shared" si="43"/>
        <v>0</v>
      </c>
      <c r="I54" s="50"/>
      <c r="J54" s="50">
        <f t="shared" si="44"/>
        <v>0</v>
      </c>
      <c r="K54" s="50"/>
      <c r="L54" s="50">
        <f t="shared" si="45"/>
        <v>0</v>
      </c>
      <c r="M54" s="50"/>
      <c r="N54" s="50">
        <f t="shared" si="46"/>
        <v>0</v>
      </c>
      <c r="O54" s="50"/>
      <c r="P54" s="50"/>
      <c r="Q54" s="50"/>
      <c r="R54" s="50">
        <f t="shared" si="47"/>
        <v>0</v>
      </c>
      <c r="S54" s="50"/>
      <c r="T54" s="50">
        <f t="shared" si="48"/>
        <v>0</v>
      </c>
      <c r="U54" s="50"/>
      <c r="V54" s="50">
        <f t="shared" si="49"/>
        <v>0</v>
      </c>
      <c r="W54" s="50"/>
      <c r="X54" s="50">
        <f>+D54*W54</f>
        <v>0</v>
      </c>
      <c r="Y54" s="50"/>
      <c r="Z54" s="50">
        <f>+D54*Y54</f>
        <v>0</v>
      </c>
      <c r="AA54" s="50"/>
      <c r="AB54" s="50">
        <f>+D54*AA54</f>
        <v>0</v>
      </c>
      <c r="AC54" s="50"/>
      <c r="AD54" s="50"/>
      <c r="AE54" s="50"/>
      <c r="AF54" s="50">
        <f>+D54*AE54</f>
        <v>0</v>
      </c>
      <c r="AG54" s="50"/>
      <c r="AH54" s="50">
        <f>+D54*AG54</f>
        <v>0</v>
      </c>
      <c r="AI54" s="50"/>
      <c r="AJ54" s="50">
        <f>+D54*AI54</f>
        <v>0</v>
      </c>
      <c r="AK54" s="50"/>
      <c r="AL54" s="50">
        <f>D54*AK54</f>
        <v>0</v>
      </c>
      <c r="AM54" s="50"/>
      <c r="AN54" s="50">
        <f>D54*AM54</f>
        <v>0</v>
      </c>
      <c r="AO54" s="50"/>
      <c r="AP54" s="50">
        <f>+D54*AO54</f>
        <v>0</v>
      </c>
      <c r="AQ54" s="50"/>
      <c r="AR54" s="50">
        <f>+AQ54*D54</f>
        <v>0</v>
      </c>
      <c r="AS54" s="50"/>
      <c r="AT54" s="50">
        <f>+D54*AS54</f>
        <v>0</v>
      </c>
      <c r="AV54" s="27">
        <f>D54*AU54</f>
        <v>0</v>
      </c>
    </row>
    <row r="55" spans="1:48" ht="15" customHeight="1" x14ac:dyDescent="0.2">
      <c r="A55" s="47" t="s">
        <v>1021</v>
      </c>
      <c r="B55" s="48" t="s">
        <v>227</v>
      </c>
      <c r="C55" s="149">
        <v>852.87370129183512</v>
      </c>
      <c r="D55" s="49">
        <f t="shared" si="41"/>
        <v>852.87</v>
      </c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</row>
    <row r="56" spans="1:48" ht="15" customHeight="1" x14ac:dyDescent="0.2">
      <c r="A56" s="47" t="s">
        <v>439</v>
      </c>
      <c r="B56" s="48" t="s">
        <v>227</v>
      </c>
      <c r="C56" s="149">
        <v>287.84504362457216</v>
      </c>
      <c r="D56" s="49">
        <f t="shared" si="41"/>
        <v>287.85000000000002</v>
      </c>
      <c r="E56" s="50"/>
      <c r="F56" s="50">
        <f t="shared" si="42"/>
        <v>0</v>
      </c>
      <c r="G56" s="50"/>
      <c r="H56" s="50">
        <f t="shared" si="43"/>
        <v>0</v>
      </c>
      <c r="I56" s="50"/>
      <c r="J56" s="50">
        <f t="shared" si="44"/>
        <v>0</v>
      </c>
      <c r="K56" s="50"/>
      <c r="L56" s="50">
        <f t="shared" si="45"/>
        <v>0</v>
      </c>
      <c r="M56" s="50"/>
      <c r="N56" s="50">
        <f t="shared" si="46"/>
        <v>0</v>
      </c>
      <c r="O56" s="50"/>
      <c r="P56" s="50"/>
      <c r="Q56" s="50"/>
      <c r="R56" s="50">
        <f t="shared" si="47"/>
        <v>0</v>
      </c>
      <c r="S56" s="50"/>
      <c r="T56" s="50">
        <f t="shared" si="48"/>
        <v>0</v>
      </c>
      <c r="U56" s="50"/>
      <c r="V56" s="50">
        <f t="shared" si="49"/>
        <v>0</v>
      </c>
      <c r="W56" s="50"/>
      <c r="X56" s="50">
        <f>+D56*W56</f>
        <v>0</v>
      </c>
      <c r="Y56" s="50"/>
      <c r="Z56" s="50">
        <f>+D56*Y56</f>
        <v>0</v>
      </c>
      <c r="AA56" s="50"/>
      <c r="AB56" s="50">
        <f>+D56*AA56</f>
        <v>0</v>
      </c>
      <c r="AC56" s="50"/>
      <c r="AD56" s="50"/>
      <c r="AE56" s="50"/>
      <c r="AF56" s="50">
        <f>+D56*AE56</f>
        <v>0</v>
      </c>
      <c r="AG56" s="50"/>
      <c r="AH56" s="50">
        <f>+D56*AG56</f>
        <v>0</v>
      </c>
      <c r="AI56" s="50"/>
      <c r="AJ56" s="50">
        <f>+D56*AI56</f>
        <v>0</v>
      </c>
      <c r="AK56" s="50"/>
      <c r="AL56" s="50">
        <f>D56*AK56</f>
        <v>0</v>
      </c>
      <c r="AM56" s="50"/>
      <c r="AN56" s="50">
        <f>D56*AM56</f>
        <v>0</v>
      </c>
      <c r="AO56" s="50"/>
      <c r="AP56" s="50">
        <f>+D56*AO56</f>
        <v>0</v>
      </c>
      <c r="AQ56" s="50"/>
      <c r="AR56" s="50">
        <f>+AQ56*D56</f>
        <v>0</v>
      </c>
      <c r="AS56" s="50"/>
      <c r="AT56" s="50">
        <f>+D56*AS56</f>
        <v>0</v>
      </c>
      <c r="AV56" s="27">
        <f>D56*AU56</f>
        <v>0</v>
      </c>
    </row>
    <row r="57" spans="1:48" ht="15" customHeight="1" x14ac:dyDescent="0.2">
      <c r="A57" s="47" t="s">
        <v>1020</v>
      </c>
      <c r="B57" s="48" t="s">
        <v>227</v>
      </c>
      <c r="C57" s="149">
        <v>955.2296</v>
      </c>
      <c r="D57" s="49">
        <f t="shared" si="41"/>
        <v>955.23</v>
      </c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</row>
    <row r="58" spans="1:48" ht="15" customHeight="1" x14ac:dyDescent="0.2">
      <c r="A58" s="47" t="s">
        <v>387</v>
      </c>
      <c r="B58" s="48" t="s">
        <v>227</v>
      </c>
      <c r="C58" s="149">
        <v>410.70246272348089</v>
      </c>
      <c r="D58" s="49">
        <f t="shared" si="41"/>
        <v>410.7</v>
      </c>
      <c r="E58" s="50"/>
      <c r="F58" s="50">
        <f t="shared" si="42"/>
        <v>0</v>
      </c>
      <c r="G58" s="50"/>
      <c r="H58" s="50">
        <f t="shared" si="43"/>
        <v>0</v>
      </c>
      <c r="I58" s="50"/>
      <c r="J58" s="50">
        <f t="shared" si="44"/>
        <v>0</v>
      </c>
      <c r="K58" s="50"/>
      <c r="L58" s="50">
        <f t="shared" si="45"/>
        <v>0</v>
      </c>
      <c r="M58" s="50"/>
      <c r="N58" s="50">
        <f t="shared" si="46"/>
        <v>0</v>
      </c>
      <c r="O58" s="50"/>
      <c r="P58" s="50"/>
      <c r="Q58" s="50"/>
      <c r="R58" s="50">
        <f t="shared" si="47"/>
        <v>0</v>
      </c>
      <c r="S58" s="50"/>
      <c r="T58" s="50">
        <f t="shared" si="48"/>
        <v>0</v>
      </c>
      <c r="U58" s="50"/>
      <c r="V58" s="50">
        <f t="shared" si="49"/>
        <v>0</v>
      </c>
      <c r="W58" s="50"/>
      <c r="X58" s="50">
        <f>+D58*W58</f>
        <v>0</v>
      </c>
      <c r="Y58" s="50"/>
      <c r="Z58" s="50">
        <f>+D58*Y58</f>
        <v>0</v>
      </c>
      <c r="AA58" s="50"/>
      <c r="AB58" s="50">
        <f>+D58*AA58</f>
        <v>0</v>
      </c>
      <c r="AC58" s="50"/>
      <c r="AD58" s="50"/>
      <c r="AE58" s="50"/>
      <c r="AF58" s="50">
        <f>+D58*AE58</f>
        <v>0</v>
      </c>
      <c r="AG58" s="50"/>
      <c r="AH58" s="50">
        <f>+D58*AG58</f>
        <v>0</v>
      </c>
      <c r="AI58" s="50"/>
      <c r="AJ58" s="50">
        <f>+D58*AI58</f>
        <v>0</v>
      </c>
      <c r="AK58" s="50"/>
      <c r="AL58" s="50">
        <f>D58*AK58</f>
        <v>0</v>
      </c>
      <c r="AM58" s="50"/>
      <c r="AN58" s="50">
        <f>D58*AM58</f>
        <v>0</v>
      </c>
      <c r="AO58" s="50"/>
      <c r="AP58" s="50">
        <f>+D58*AO58</f>
        <v>0</v>
      </c>
      <c r="AQ58" s="50"/>
      <c r="AR58" s="50">
        <f>+AQ58*D58</f>
        <v>0</v>
      </c>
      <c r="AS58" s="50"/>
      <c r="AT58" s="50">
        <f>+D58*AS58</f>
        <v>0</v>
      </c>
      <c r="AV58" s="27">
        <f>D58*AU58</f>
        <v>0</v>
      </c>
    </row>
    <row r="59" spans="1:48" ht="15" customHeight="1" x14ac:dyDescent="0.2">
      <c r="A59" s="47" t="s">
        <v>388</v>
      </c>
      <c r="B59" s="48" t="s">
        <v>227</v>
      </c>
      <c r="C59" s="149">
        <v>606.90341283896987</v>
      </c>
      <c r="D59" s="49">
        <f t="shared" si="41"/>
        <v>606.9</v>
      </c>
      <c r="E59" s="50"/>
      <c r="F59" s="50">
        <f t="shared" si="42"/>
        <v>0</v>
      </c>
      <c r="G59" s="50"/>
      <c r="H59" s="50">
        <f t="shared" si="43"/>
        <v>0</v>
      </c>
      <c r="I59" s="50"/>
      <c r="J59" s="50">
        <f t="shared" si="44"/>
        <v>0</v>
      </c>
      <c r="K59" s="50"/>
      <c r="L59" s="50">
        <f t="shared" si="45"/>
        <v>0</v>
      </c>
      <c r="M59" s="50"/>
      <c r="N59" s="50">
        <f t="shared" si="46"/>
        <v>0</v>
      </c>
      <c r="O59" s="50"/>
      <c r="P59" s="50"/>
      <c r="Q59" s="50"/>
      <c r="R59" s="50">
        <f t="shared" si="47"/>
        <v>0</v>
      </c>
      <c r="S59" s="50"/>
      <c r="T59" s="50">
        <f t="shared" si="48"/>
        <v>0</v>
      </c>
      <c r="U59" s="50"/>
      <c r="V59" s="50">
        <f t="shared" si="49"/>
        <v>0</v>
      </c>
      <c r="W59" s="50"/>
      <c r="X59" s="50">
        <f>+D59*W59</f>
        <v>0</v>
      </c>
      <c r="Y59" s="50"/>
      <c r="Z59" s="50">
        <f>+D59*Y59</f>
        <v>0</v>
      </c>
      <c r="AA59" s="50"/>
      <c r="AB59" s="50">
        <f>+D59*AA59</f>
        <v>0</v>
      </c>
      <c r="AC59" s="50"/>
      <c r="AD59" s="50"/>
      <c r="AE59" s="50"/>
      <c r="AF59" s="50">
        <f>+D59*AE59</f>
        <v>0</v>
      </c>
      <c r="AG59" s="50"/>
      <c r="AH59" s="50">
        <f>+D59*AG59</f>
        <v>0</v>
      </c>
      <c r="AI59" s="50"/>
      <c r="AJ59" s="50">
        <f>+D59*AI59</f>
        <v>0</v>
      </c>
      <c r="AK59" s="50"/>
      <c r="AL59" s="50">
        <f>D59*AK59</f>
        <v>0</v>
      </c>
      <c r="AM59" s="50"/>
      <c r="AN59" s="50">
        <f>D59*AM59</f>
        <v>0</v>
      </c>
      <c r="AO59" s="50"/>
      <c r="AP59" s="50">
        <f>+D59*AO59</f>
        <v>0</v>
      </c>
      <c r="AQ59" s="50"/>
      <c r="AR59" s="50">
        <f>+AQ59*D59</f>
        <v>0</v>
      </c>
      <c r="AS59" s="50"/>
      <c r="AT59" s="50">
        <f>+D59*AS59</f>
        <v>0</v>
      </c>
      <c r="AV59" s="27">
        <f>D59*AU59</f>
        <v>0</v>
      </c>
    </row>
    <row r="60" spans="1:48" ht="15" customHeight="1" x14ac:dyDescent="0.2">
      <c r="A60" s="47" t="s">
        <v>1072</v>
      </c>
      <c r="B60" s="48" t="s">
        <v>227</v>
      </c>
      <c r="C60" s="149">
        <v>1198.9603976398059</v>
      </c>
      <c r="D60" s="49">
        <f t="shared" si="41"/>
        <v>1198.96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</row>
    <row r="61" spans="1:48" ht="15" customHeight="1" x14ac:dyDescent="0.2">
      <c r="A61" s="47" t="s">
        <v>1073</v>
      </c>
      <c r="B61" s="48" t="s">
        <v>227</v>
      </c>
      <c r="C61" s="149">
        <v>532.74048238438468</v>
      </c>
      <c r="D61" s="49">
        <f t="shared" si="41"/>
        <v>532.74</v>
      </c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</row>
    <row r="62" spans="1:48" ht="15" customHeight="1" x14ac:dyDescent="0.2">
      <c r="A62" s="47" t="s">
        <v>1074</v>
      </c>
      <c r="B62" s="48" t="s">
        <v>227</v>
      </c>
      <c r="C62" s="149">
        <v>1259.6597301572276</v>
      </c>
      <c r="D62" s="49">
        <f t="shared" si="41"/>
        <v>1259.6600000000001</v>
      </c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</row>
    <row r="63" spans="1:48" ht="15" customHeight="1" x14ac:dyDescent="0.2">
      <c r="A63" s="47" t="s">
        <v>425</v>
      </c>
      <c r="B63" s="48" t="s">
        <v>227</v>
      </c>
      <c r="C63" s="149">
        <v>627.18351412025027</v>
      </c>
      <c r="D63" s="49">
        <f t="shared" si="41"/>
        <v>627.17999999999995</v>
      </c>
      <c r="E63" s="50"/>
      <c r="F63" s="50">
        <f t="shared" si="42"/>
        <v>0</v>
      </c>
      <c r="G63" s="50"/>
      <c r="H63" s="50">
        <f t="shared" si="43"/>
        <v>0</v>
      </c>
      <c r="I63" s="50"/>
      <c r="J63" s="50">
        <f t="shared" si="44"/>
        <v>0</v>
      </c>
      <c r="K63" s="50"/>
      <c r="L63" s="50">
        <f t="shared" si="45"/>
        <v>0</v>
      </c>
      <c r="M63" s="50"/>
      <c r="N63" s="50">
        <f t="shared" si="46"/>
        <v>0</v>
      </c>
      <c r="O63" s="50"/>
      <c r="P63" s="50"/>
      <c r="Q63" s="50"/>
      <c r="R63" s="50">
        <f t="shared" si="47"/>
        <v>0</v>
      </c>
      <c r="S63" s="50"/>
      <c r="T63" s="50">
        <f t="shared" si="48"/>
        <v>0</v>
      </c>
      <c r="U63" s="50"/>
      <c r="V63" s="50">
        <f t="shared" si="49"/>
        <v>0</v>
      </c>
      <c r="W63" s="50"/>
      <c r="X63" s="50">
        <f>+D63*W63</f>
        <v>0</v>
      </c>
      <c r="Y63" s="50"/>
      <c r="Z63" s="50">
        <f>+D63*Y63</f>
        <v>0</v>
      </c>
      <c r="AA63" s="50"/>
      <c r="AB63" s="50">
        <f>+D63*AA63</f>
        <v>0</v>
      </c>
      <c r="AC63" s="50"/>
      <c r="AD63" s="50"/>
      <c r="AE63" s="50"/>
      <c r="AF63" s="50">
        <f>+D63*AE63</f>
        <v>0</v>
      </c>
      <c r="AG63" s="50"/>
      <c r="AH63" s="50">
        <f>+D63*AG63</f>
        <v>0</v>
      </c>
      <c r="AI63" s="50"/>
      <c r="AJ63" s="50">
        <f>+D63*AI63</f>
        <v>0</v>
      </c>
      <c r="AK63" s="50"/>
      <c r="AL63" s="50">
        <f>D63*AK63</f>
        <v>0</v>
      </c>
      <c r="AM63" s="50"/>
      <c r="AN63" s="50">
        <f>D63*AM63</f>
        <v>0</v>
      </c>
      <c r="AO63" s="50"/>
      <c r="AP63" s="50">
        <f>+D63*AO63</f>
        <v>0</v>
      </c>
      <c r="AQ63" s="50"/>
      <c r="AR63" s="50">
        <f>+AQ63*D63</f>
        <v>0</v>
      </c>
      <c r="AS63" s="50"/>
      <c r="AT63" s="50">
        <f>+D63*AS63</f>
        <v>0</v>
      </c>
      <c r="AV63" s="27">
        <f>D63*AU63</f>
        <v>0</v>
      </c>
    </row>
    <row r="64" spans="1:48" ht="15" customHeight="1" x14ac:dyDescent="0.2">
      <c r="A64" s="47" t="s">
        <v>1075</v>
      </c>
      <c r="B64" s="48" t="s">
        <v>227</v>
      </c>
      <c r="C64" s="149">
        <v>1504.5813176157405</v>
      </c>
      <c r="D64" s="49">
        <f t="shared" si="41"/>
        <v>1504.58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</row>
    <row r="65" spans="1:60" ht="15" customHeight="1" x14ac:dyDescent="0.2">
      <c r="A65" s="466" t="s">
        <v>241</v>
      </c>
      <c r="B65" s="467"/>
      <c r="C65" s="49"/>
      <c r="D65" s="49">
        <f t="shared" si="41"/>
        <v>0</v>
      </c>
      <c r="E65" s="50"/>
      <c r="F65" s="50">
        <f t="shared" si="42"/>
        <v>0</v>
      </c>
      <c r="G65" s="50"/>
      <c r="H65" s="50">
        <f t="shared" si="43"/>
        <v>0</v>
      </c>
      <c r="I65" s="50"/>
      <c r="J65" s="50">
        <f t="shared" si="44"/>
        <v>0</v>
      </c>
      <c r="K65" s="50"/>
      <c r="L65" s="50">
        <f t="shared" si="45"/>
        <v>0</v>
      </c>
      <c r="M65" s="50"/>
      <c r="N65" s="50">
        <f t="shared" si="46"/>
        <v>0</v>
      </c>
      <c r="O65" s="50"/>
      <c r="P65" s="50"/>
      <c r="Q65" s="50"/>
      <c r="R65" s="50">
        <f t="shared" si="47"/>
        <v>0</v>
      </c>
      <c r="S65" s="50"/>
      <c r="T65" s="50">
        <f t="shared" si="48"/>
        <v>0</v>
      </c>
      <c r="U65" s="50"/>
      <c r="V65" s="50">
        <f t="shared" si="49"/>
        <v>0</v>
      </c>
      <c r="W65" s="50"/>
      <c r="X65" s="50">
        <f t="shared" ref="X65:X96" si="50">+D65*W65</f>
        <v>0</v>
      </c>
      <c r="Y65" s="50"/>
      <c r="Z65" s="50">
        <f t="shared" ref="Z65:Z96" si="51">+D65*Y65</f>
        <v>0</v>
      </c>
      <c r="AA65" s="50"/>
      <c r="AB65" s="50">
        <f t="shared" ref="AB65:AB96" si="52">+D65*AA65</f>
        <v>0</v>
      </c>
      <c r="AC65" s="50"/>
      <c r="AD65" s="50"/>
      <c r="AE65" s="50"/>
      <c r="AF65" s="50">
        <f t="shared" ref="AF65:AF96" si="53">+D65*AE65</f>
        <v>0</v>
      </c>
      <c r="AG65" s="50"/>
      <c r="AH65" s="50">
        <f t="shared" ref="AH65:AH96" si="54">+D65*AG65</f>
        <v>0</v>
      </c>
      <c r="AI65" s="50"/>
      <c r="AJ65" s="50">
        <f t="shared" ref="AJ65:AJ96" si="55">+D65*AI65</f>
        <v>0</v>
      </c>
      <c r="AK65" s="50"/>
      <c r="AL65" s="50">
        <f t="shared" ref="AL65:AL96" si="56">D65*AK65</f>
        <v>0</v>
      </c>
      <c r="AM65" s="50"/>
      <c r="AN65" s="50">
        <f t="shared" ref="AN65:AN96" si="57">D65*AM65</f>
        <v>0</v>
      </c>
      <c r="AO65" s="50"/>
      <c r="AP65" s="50">
        <f t="shared" ref="AP65:AP96" si="58">+D65*AO65</f>
        <v>0</v>
      </c>
      <c r="AQ65" s="50"/>
      <c r="AR65" s="50">
        <f t="shared" ref="AR65:AR96" si="59">+AQ65*D65</f>
        <v>0</v>
      </c>
      <c r="AS65" s="50"/>
      <c r="AT65" s="50">
        <f t="shared" ref="AT65:AT96" si="60">+D65*AS65</f>
        <v>0</v>
      </c>
      <c r="AV65" s="27">
        <f t="shared" ref="AV65:AV96" si="61">D65*AU65</f>
        <v>0</v>
      </c>
    </row>
    <row r="66" spans="1:60" ht="15" customHeight="1" x14ac:dyDescent="0.2">
      <c r="A66" s="535" t="s">
        <v>242</v>
      </c>
      <c r="B66" s="48" t="s">
        <v>227</v>
      </c>
      <c r="C66" s="49">
        <v>8.35</v>
      </c>
      <c r="D66" s="49">
        <f t="shared" si="41"/>
        <v>8.35</v>
      </c>
      <c r="E66" s="50"/>
      <c r="F66" s="50">
        <f t="shared" si="42"/>
        <v>0</v>
      </c>
      <c r="G66" s="50"/>
      <c r="H66" s="50">
        <f t="shared" si="43"/>
        <v>0</v>
      </c>
      <c r="I66" s="50"/>
      <c r="J66" s="50">
        <f t="shared" si="44"/>
        <v>0</v>
      </c>
      <c r="K66" s="50"/>
      <c r="L66" s="50">
        <f t="shared" si="45"/>
        <v>0</v>
      </c>
      <c r="M66" s="50"/>
      <c r="N66" s="50">
        <f t="shared" si="46"/>
        <v>0</v>
      </c>
      <c r="O66" s="50"/>
      <c r="P66" s="50"/>
      <c r="Q66" s="50"/>
      <c r="R66" s="50">
        <f t="shared" si="47"/>
        <v>0</v>
      </c>
      <c r="S66" s="50"/>
      <c r="T66" s="50">
        <f t="shared" si="48"/>
        <v>0</v>
      </c>
      <c r="U66" s="50"/>
      <c r="V66" s="50">
        <f t="shared" si="49"/>
        <v>0</v>
      </c>
      <c r="W66" s="50"/>
      <c r="X66" s="50">
        <f t="shared" si="50"/>
        <v>0</v>
      </c>
      <c r="Y66" s="50"/>
      <c r="Z66" s="50">
        <f t="shared" si="51"/>
        <v>0</v>
      </c>
      <c r="AA66" s="50"/>
      <c r="AB66" s="50">
        <f t="shared" si="52"/>
        <v>0</v>
      </c>
      <c r="AC66" s="50"/>
      <c r="AD66" s="50"/>
      <c r="AE66" s="50"/>
      <c r="AF66" s="50">
        <f t="shared" si="53"/>
        <v>0</v>
      </c>
      <c r="AG66" s="50"/>
      <c r="AH66" s="50">
        <f t="shared" si="54"/>
        <v>0</v>
      </c>
      <c r="AI66" s="50"/>
      <c r="AJ66" s="50">
        <f t="shared" si="55"/>
        <v>0</v>
      </c>
      <c r="AK66" s="50"/>
      <c r="AL66" s="50">
        <f t="shared" si="56"/>
        <v>0</v>
      </c>
      <c r="AM66" s="50"/>
      <c r="AN66" s="50">
        <f t="shared" si="57"/>
        <v>0</v>
      </c>
      <c r="AO66" s="50"/>
      <c r="AP66" s="50">
        <f t="shared" si="58"/>
        <v>0</v>
      </c>
      <c r="AQ66" s="50"/>
      <c r="AR66" s="50">
        <f t="shared" si="59"/>
        <v>0</v>
      </c>
      <c r="AS66" s="50"/>
      <c r="AT66" s="50">
        <f t="shared" si="60"/>
        <v>0</v>
      </c>
      <c r="AV66" s="27">
        <f t="shared" si="61"/>
        <v>0</v>
      </c>
    </row>
    <row r="67" spans="1:60" ht="15" customHeight="1" x14ac:dyDescent="0.2">
      <c r="A67" s="47" t="s">
        <v>1006</v>
      </c>
      <c r="B67" s="48" t="s">
        <v>227</v>
      </c>
      <c r="C67" s="149">
        <v>5.2002886538893485</v>
      </c>
      <c r="D67" s="49">
        <f t="shared" si="41"/>
        <v>5.2</v>
      </c>
      <c r="E67" s="50"/>
      <c r="F67" s="50">
        <f t="shared" si="42"/>
        <v>0</v>
      </c>
      <c r="G67" s="50"/>
      <c r="H67" s="50">
        <f t="shared" si="43"/>
        <v>0</v>
      </c>
      <c r="I67" s="50"/>
      <c r="J67" s="50">
        <f t="shared" si="44"/>
        <v>0</v>
      </c>
      <c r="K67" s="50"/>
      <c r="L67" s="50">
        <f t="shared" si="45"/>
        <v>0</v>
      </c>
      <c r="M67" s="50"/>
      <c r="N67" s="50">
        <f t="shared" si="46"/>
        <v>0</v>
      </c>
      <c r="O67" s="50"/>
      <c r="P67" s="50"/>
      <c r="Q67" s="50"/>
      <c r="R67" s="50">
        <f t="shared" si="47"/>
        <v>0</v>
      </c>
      <c r="S67" s="50"/>
      <c r="T67" s="50">
        <f t="shared" si="48"/>
        <v>0</v>
      </c>
      <c r="U67" s="50"/>
      <c r="V67" s="50">
        <f t="shared" si="49"/>
        <v>0</v>
      </c>
      <c r="W67" s="50"/>
      <c r="X67" s="50">
        <f t="shared" si="50"/>
        <v>0</v>
      </c>
      <c r="Y67" s="50"/>
      <c r="Z67" s="50">
        <f t="shared" si="51"/>
        <v>0</v>
      </c>
      <c r="AA67" s="50"/>
      <c r="AB67" s="50">
        <f t="shared" si="52"/>
        <v>0</v>
      </c>
      <c r="AC67" s="50"/>
      <c r="AD67" s="50"/>
      <c r="AE67" s="50"/>
      <c r="AF67" s="50">
        <f t="shared" si="53"/>
        <v>0</v>
      </c>
      <c r="AG67" s="50"/>
      <c r="AH67" s="50">
        <f t="shared" si="54"/>
        <v>0</v>
      </c>
      <c r="AI67" s="50"/>
      <c r="AJ67" s="50">
        <f t="shared" si="55"/>
        <v>0</v>
      </c>
      <c r="AK67" s="50"/>
      <c r="AL67" s="50">
        <f t="shared" si="56"/>
        <v>0</v>
      </c>
      <c r="AM67" s="50"/>
      <c r="AN67" s="50">
        <f t="shared" si="57"/>
        <v>0</v>
      </c>
      <c r="AO67" s="50"/>
      <c r="AP67" s="50">
        <f t="shared" si="58"/>
        <v>0</v>
      </c>
      <c r="AQ67" s="50"/>
      <c r="AR67" s="50">
        <f t="shared" si="59"/>
        <v>0</v>
      </c>
      <c r="AS67" s="50"/>
      <c r="AT67" s="50">
        <f t="shared" si="60"/>
        <v>0</v>
      </c>
      <c r="AV67" s="27">
        <f t="shared" si="61"/>
        <v>0</v>
      </c>
    </row>
    <row r="68" spans="1:60" ht="15" customHeight="1" x14ac:dyDescent="0.2">
      <c r="A68" s="534" t="s">
        <v>243</v>
      </c>
      <c r="B68" s="48" t="s">
        <v>227</v>
      </c>
      <c r="C68" s="49">
        <v>7.35</v>
      </c>
      <c r="D68" s="49">
        <f t="shared" si="41"/>
        <v>7.35</v>
      </c>
      <c r="E68" s="50"/>
      <c r="F68" s="50">
        <f t="shared" si="42"/>
        <v>0</v>
      </c>
      <c r="G68" s="50"/>
      <c r="H68" s="50">
        <f t="shared" si="43"/>
        <v>0</v>
      </c>
      <c r="I68" s="50"/>
      <c r="J68" s="50">
        <f t="shared" si="44"/>
        <v>0</v>
      </c>
      <c r="K68" s="50"/>
      <c r="L68" s="50">
        <f t="shared" si="45"/>
        <v>0</v>
      </c>
      <c r="M68" s="50"/>
      <c r="N68" s="50">
        <f t="shared" si="46"/>
        <v>0</v>
      </c>
      <c r="O68" s="50"/>
      <c r="P68" s="50"/>
      <c r="Q68" s="50"/>
      <c r="R68" s="50">
        <f t="shared" si="47"/>
        <v>0</v>
      </c>
      <c r="S68" s="50"/>
      <c r="T68" s="50">
        <f t="shared" si="48"/>
        <v>0</v>
      </c>
      <c r="U68" s="50"/>
      <c r="V68" s="50">
        <f t="shared" si="49"/>
        <v>0</v>
      </c>
      <c r="W68" s="50"/>
      <c r="X68" s="50">
        <f t="shared" si="50"/>
        <v>0</v>
      </c>
      <c r="Y68" s="50"/>
      <c r="Z68" s="50">
        <f t="shared" si="51"/>
        <v>0</v>
      </c>
      <c r="AA68" s="50"/>
      <c r="AB68" s="50">
        <f t="shared" si="52"/>
        <v>0</v>
      </c>
      <c r="AC68" s="50"/>
      <c r="AD68" s="50"/>
      <c r="AE68" s="50"/>
      <c r="AF68" s="50">
        <f t="shared" si="53"/>
        <v>0</v>
      </c>
      <c r="AG68" s="50"/>
      <c r="AH68" s="50">
        <f t="shared" si="54"/>
        <v>0</v>
      </c>
      <c r="AI68" s="50"/>
      <c r="AJ68" s="50">
        <f t="shared" si="55"/>
        <v>0</v>
      </c>
      <c r="AK68" s="50"/>
      <c r="AL68" s="50">
        <f t="shared" si="56"/>
        <v>0</v>
      </c>
      <c r="AM68" s="50"/>
      <c r="AN68" s="50">
        <f t="shared" si="57"/>
        <v>0</v>
      </c>
      <c r="AO68" s="50"/>
      <c r="AP68" s="50">
        <f t="shared" si="58"/>
        <v>0</v>
      </c>
      <c r="AQ68" s="50"/>
      <c r="AR68" s="50">
        <f t="shared" si="59"/>
        <v>0</v>
      </c>
      <c r="AS68" s="50"/>
      <c r="AT68" s="50">
        <f t="shared" si="60"/>
        <v>0</v>
      </c>
      <c r="AV68" s="27">
        <f t="shared" si="61"/>
        <v>0</v>
      </c>
    </row>
    <row r="69" spans="1:60" ht="15" customHeight="1" x14ac:dyDescent="0.2">
      <c r="A69" s="534" t="s">
        <v>244</v>
      </c>
      <c r="B69" s="48" t="s">
        <v>227</v>
      </c>
      <c r="C69" s="49">
        <v>5.62</v>
      </c>
      <c r="D69" s="49">
        <f t="shared" si="41"/>
        <v>5.62</v>
      </c>
      <c r="E69" s="50"/>
      <c r="F69" s="50">
        <f t="shared" si="42"/>
        <v>0</v>
      </c>
      <c r="G69" s="50"/>
      <c r="H69" s="50">
        <f t="shared" si="43"/>
        <v>0</v>
      </c>
      <c r="I69" s="50"/>
      <c r="J69" s="50">
        <f t="shared" si="44"/>
        <v>0</v>
      </c>
      <c r="K69" s="50"/>
      <c r="L69" s="50">
        <f t="shared" si="45"/>
        <v>0</v>
      </c>
      <c r="M69" s="50"/>
      <c r="N69" s="50">
        <f t="shared" si="46"/>
        <v>0</v>
      </c>
      <c r="O69" s="50"/>
      <c r="P69" s="50"/>
      <c r="Q69" s="50"/>
      <c r="R69" s="50">
        <f t="shared" si="47"/>
        <v>0</v>
      </c>
      <c r="S69" s="50"/>
      <c r="T69" s="50">
        <f t="shared" si="48"/>
        <v>0</v>
      </c>
      <c r="U69" s="50"/>
      <c r="V69" s="50">
        <f t="shared" si="49"/>
        <v>0</v>
      </c>
      <c r="W69" s="50"/>
      <c r="X69" s="50">
        <f t="shared" si="50"/>
        <v>0</v>
      </c>
      <c r="Y69" s="50"/>
      <c r="Z69" s="50">
        <f t="shared" si="51"/>
        <v>0</v>
      </c>
      <c r="AA69" s="50"/>
      <c r="AB69" s="50">
        <f t="shared" si="52"/>
        <v>0</v>
      </c>
      <c r="AC69" s="50"/>
      <c r="AD69" s="50"/>
      <c r="AE69" s="50"/>
      <c r="AF69" s="50">
        <f t="shared" si="53"/>
        <v>0</v>
      </c>
      <c r="AG69" s="50"/>
      <c r="AH69" s="50">
        <f t="shared" si="54"/>
        <v>0</v>
      </c>
      <c r="AI69" s="50"/>
      <c r="AJ69" s="50">
        <f t="shared" si="55"/>
        <v>0</v>
      </c>
      <c r="AK69" s="50"/>
      <c r="AL69" s="50">
        <f t="shared" si="56"/>
        <v>0</v>
      </c>
      <c r="AM69" s="50"/>
      <c r="AN69" s="50">
        <f t="shared" si="57"/>
        <v>0</v>
      </c>
      <c r="AO69" s="50"/>
      <c r="AP69" s="50">
        <f t="shared" si="58"/>
        <v>0</v>
      </c>
      <c r="AQ69" s="50"/>
      <c r="AR69" s="50">
        <f t="shared" si="59"/>
        <v>0</v>
      </c>
      <c r="AS69" s="50"/>
      <c r="AT69" s="50">
        <f t="shared" si="60"/>
        <v>0</v>
      </c>
      <c r="AV69" s="27">
        <f t="shared" si="61"/>
        <v>0</v>
      </c>
    </row>
    <row r="70" spans="1:60" ht="15" customHeight="1" x14ac:dyDescent="0.2">
      <c r="A70" s="47" t="s">
        <v>1008</v>
      </c>
      <c r="B70" s="48" t="s">
        <v>227</v>
      </c>
      <c r="C70" s="149">
        <v>6.2858018769633839</v>
      </c>
      <c r="D70" s="49">
        <f t="shared" si="41"/>
        <v>6.29</v>
      </c>
      <c r="E70" s="50"/>
      <c r="F70" s="50">
        <f t="shared" si="42"/>
        <v>0</v>
      </c>
      <c r="G70" s="50"/>
      <c r="H70" s="50">
        <f t="shared" si="43"/>
        <v>0</v>
      </c>
      <c r="I70" s="50"/>
      <c r="J70" s="50">
        <f t="shared" si="44"/>
        <v>0</v>
      </c>
      <c r="K70" s="50"/>
      <c r="L70" s="50">
        <f t="shared" si="45"/>
        <v>0</v>
      </c>
      <c r="M70" s="50"/>
      <c r="N70" s="50">
        <f t="shared" si="46"/>
        <v>0</v>
      </c>
      <c r="O70" s="50"/>
      <c r="P70" s="50"/>
      <c r="Q70" s="50"/>
      <c r="R70" s="50">
        <f t="shared" si="47"/>
        <v>0</v>
      </c>
      <c r="S70" s="50"/>
      <c r="T70" s="50">
        <f t="shared" si="48"/>
        <v>0</v>
      </c>
      <c r="U70" s="50"/>
      <c r="V70" s="50">
        <f t="shared" si="49"/>
        <v>0</v>
      </c>
      <c r="W70" s="50"/>
      <c r="X70" s="50">
        <f t="shared" si="50"/>
        <v>0</v>
      </c>
      <c r="Y70" s="50"/>
      <c r="Z70" s="50">
        <f t="shared" si="51"/>
        <v>0</v>
      </c>
      <c r="AA70" s="50"/>
      <c r="AB70" s="50">
        <f t="shared" si="52"/>
        <v>0</v>
      </c>
      <c r="AC70" s="50"/>
      <c r="AD70" s="50"/>
      <c r="AE70" s="50"/>
      <c r="AF70" s="50">
        <f t="shared" si="53"/>
        <v>0</v>
      </c>
      <c r="AG70" s="50"/>
      <c r="AH70" s="50">
        <f t="shared" si="54"/>
        <v>0</v>
      </c>
      <c r="AI70" s="50"/>
      <c r="AJ70" s="50">
        <f t="shared" si="55"/>
        <v>0</v>
      </c>
      <c r="AK70" s="50"/>
      <c r="AL70" s="50">
        <f t="shared" si="56"/>
        <v>0</v>
      </c>
      <c r="AM70" s="50"/>
      <c r="AN70" s="50">
        <f t="shared" si="57"/>
        <v>0</v>
      </c>
      <c r="AO70" s="50"/>
      <c r="AP70" s="50">
        <f t="shared" si="58"/>
        <v>0</v>
      </c>
      <c r="AQ70" s="50"/>
      <c r="AR70" s="50">
        <f t="shared" si="59"/>
        <v>0</v>
      </c>
      <c r="AS70" s="50"/>
      <c r="AT70" s="50">
        <f t="shared" si="60"/>
        <v>0</v>
      </c>
      <c r="AV70" s="27">
        <f t="shared" si="61"/>
        <v>0</v>
      </c>
    </row>
    <row r="71" spans="1:60" ht="15" customHeight="1" x14ac:dyDescent="0.2">
      <c r="A71" s="534" t="s">
        <v>245</v>
      </c>
      <c r="B71" s="48" t="s">
        <v>227</v>
      </c>
      <c r="C71" s="49">
        <v>5.51</v>
      </c>
      <c r="D71" s="49">
        <f t="shared" si="41"/>
        <v>5.51</v>
      </c>
      <c r="E71" s="50"/>
      <c r="F71" s="50">
        <f t="shared" si="42"/>
        <v>0</v>
      </c>
      <c r="G71" s="50"/>
      <c r="H71" s="50">
        <f t="shared" si="43"/>
        <v>0</v>
      </c>
      <c r="I71" s="50"/>
      <c r="J71" s="50">
        <f t="shared" si="44"/>
        <v>0</v>
      </c>
      <c r="K71" s="50"/>
      <c r="L71" s="50">
        <f t="shared" si="45"/>
        <v>0</v>
      </c>
      <c r="M71" s="50"/>
      <c r="N71" s="50">
        <f t="shared" si="46"/>
        <v>0</v>
      </c>
      <c r="O71" s="50"/>
      <c r="P71" s="50"/>
      <c r="Q71" s="50"/>
      <c r="R71" s="50">
        <f t="shared" si="47"/>
        <v>0</v>
      </c>
      <c r="S71" s="50"/>
      <c r="T71" s="50">
        <f t="shared" si="48"/>
        <v>0</v>
      </c>
      <c r="U71" s="50"/>
      <c r="V71" s="50">
        <f t="shared" si="49"/>
        <v>0</v>
      </c>
      <c r="W71" s="50"/>
      <c r="X71" s="50">
        <f t="shared" si="50"/>
        <v>0</v>
      </c>
      <c r="Y71" s="50"/>
      <c r="Z71" s="50">
        <f t="shared" si="51"/>
        <v>0</v>
      </c>
      <c r="AA71" s="50"/>
      <c r="AB71" s="50">
        <f t="shared" si="52"/>
        <v>0</v>
      </c>
      <c r="AC71" s="50"/>
      <c r="AD71" s="50"/>
      <c r="AE71" s="50"/>
      <c r="AF71" s="50">
        <f t="shared" si="53"/>
        <v>0</v>
      </c>
      <c r="AG71" s="50"/>
      <c r="AH71" s="50">
        <f t="shared" si="54"/>
        <v>0</v>
      </c>
      <c r="AI71" s="50"/>
      <c r="AJ71" s="50">
        <f t="shared" si="55"/>
        <v>0</v>
      </c>
      <c r="AK71" s="50"/>
      <c r="AL71" s="50">
        <f t="shared" si="56"/>
        <v>0</v>
      </c>
      <c r="AM71" s="50"/>
      <c r="AN71" s="50">
        <f t="shared" si="57"/>
        <v>0</v>
      </c>
      <c r="AO71" s="50"/>
      <c r="AP71" s="50">
        <f t="shared" si="58"/>
        <v>0</v>
      </c>
      <c r="AQ71" s="50"/>
      <c r="AR71" s="50">
        <f t="shared" si="59"/>
        <v>0</v>
      </c>
      <c r="AS71" s="50"/>
      <c r="AT71" s="50">
        <f t="shared" si="60"/>
        <v>0</v>
      </c>
      <c r="AV71" s="27">
        <f t="shared" si="61"/>
        <v>0</v>
      </c>
    </row>
    <row r="72" spans="1:60" ht="15" customHeight="1" x14ac:dyDescent="0.2">
      <c r="A72" s="534" t="s">
        <v>246</v>
      </c>
      <c r="B72" s="48" t="s">
        <v>227</v>
      </c>
      <c r="C72" s="49">
        <v>5.25</v>
      </c>
      <c r="D72" s="49">
        <f t="shared" si="41"/>
        <v>5.25</v>
      </c>
      <c r="E72" s="50"/>
      <c r="F72" s="50">
        <f t="shared" si="42"/>
        <v>0</v>
      </c>
      <c r="G72" s="50"/>
      <c r="H72" s="50">
        <f t="shared" si="43"/>
        <v>0</v>
      </c>
      <c r="I72" s="50"/>
      <c r="J72" s="50">
        <f t="shared" si="44"/>
        <v>0</v>
      </c>
      <c r="K72" s="50"/>
      <c r="L72" s="50">
        <f t="shared" si="45"/>
        <v>0</v>
      </c>
      <c r="M72" s="50"/>
      <c r="N72" s="50">
        <f t="shared" si="46"/>
        <v>0</v>
      </c>
      <c r="O72" s="50"/>
      <c r="P72" s="50"/>
      <c r="Q72" s="50"/>
      <c r="R72" s="50">
        <f t="shared" si="47"/>
        <v>0</v>
      </c>
      <c r="S72" s="50"/>
      <c r="T72" s="50">
        <f t="shared" si="48"/>
        <v>0</v>
      </c>
      <c r="U72" s="50"/>
      <c r="V72" s="50">
        <f t="shared" si="49"/>
        <v>0</v>
      </c>
      <c r="W72" s="50"/>
      <c r="X72" s="50">
        <f t="shared" si="50"/>
        <v>0</v>
      </c>
      <c r="Y72" s="50"/>
      <c r="Z72" s="50">
        <f t="shared" si="51"/>
        <v>0</v>
      </c>
      <c r="AA72" s="50"/>
      <c r="AB72" s="50">
        <f t="shared" si="52"/>
        <v>0</v>
      </c>
      <c r="AC72" s="50"/>
      <c r="AD72" s="50"/>
      <c r="AE72" s="50"/>
      <c r="AF72" s="50">
        <f t="shared" si="53"/>
        <v>0</v>
      </c>
      <c r="AG72" s="50"/>
      <c r="AH72" s="50">
        <f t="shared" si="54"/>
        <v>0</v>
      </c>
      <c r="AI72" s="50"/>
      <c r="AJ72" s="50">
        <f t="shared" si="55"/>
        <v>0</v>
      </c>
      <c r="AK72" s="50"/>
      <c r="AL72" s="50">
        <f t="shared" si="56"/>
        <v>0</v>
      </c>
      <c r="AM72" s="50"/>
      <c r="AN72" s="50">
        <f t="shared" si="57"/>
        <v>0</v>
      </c>
      <c r="AO72" s="50"/>
      <c r="AP72" s="50">
        <f t="shared" si="58"/>
        <v>0</v>
      </c>
      <c r="AQ72" s="50"/>
      <c r="AR72" s="50">
        <f t="shared" si="59"/>
        <v>0</v>
      </c>
      <c r="AS72" s="50"/>
      <c r="AT72" s="50">
        <f t="shared" si="60"/>
        <v>0</v>
      </c>
      <c r="AV72" s="27">
        <f t="shared" si="61"/>
        <v>0</v>
      </c>
    </row>
    <row r="73" spans="1:60" x14ac:dyDescent="0.2">
      <c r="A73" s="534" t="s">
        <v>247</v>
      </c>
      <c r="B73" s="48" t="s">
        <v>227</v>
      </c>
      <c r="C73" s="49">
        <v>8.24</v>
      </c>
      <c r="D73" s="49">
        <f t="shared" si="41"/>
        <v>8.24</v>
      </c>
      <c r="E73" s="50"/>
      <c r="F73" s="50">
        <f t="shared" si="42"/>
        <v>0</v>
      </c>
      <c r="G73" s="50"/>
      <c r="H73" s="50">
        <f t="shared" si="43"/>
        <v>0</v>
      </c>
      <c r="I73" s="50"/>
      <c r="J73" s="50">
        <f t="shared" si="44"/>
        <v>0</v>
      </c>
      <c r="K73" s="50"/>
      <c r="L73" s="50">
        <f t="shared" si="45"/>
        <v>0</v>
      </c>
      <c r="M73" s="50"/>
      <c r="N73" s="50">
        <f t="shared" si="46"/>
        <v>0</v>
      </c>
      <c r="O73" s="50"/>
      <c r="P73" s="50"/>
      <c r="Q73" s="50"/>
      <c r="R73" s="50">
        <f t="shared" si="47"/>
        <v>0</v>
      </c>
      <c r="S73" s="50"/>
      <c r="T73" s="50">
        <f t="shared" si="48"/>
        <v>0</v>
      </c>
      <c r="U73" s="50"/>
      <c r="V73" s="50">
        <f t="shared" si="49"/>
        <v>0</v>
      </c>
      <c r="W73" s="50"/>
      <c r="X73" s="50">
        <f t="shared" si="50"/>
        <v>0</v>
      </c>
      <c r="Y73" s="50"/>
      <c r="Z73" s="50">
        <f t="shared" si="51"/>
        <v>0</v>
      </c>
      <c r="AA73" s="50"/>
      <c r="AB73" s="50">
        <f t="shared" si="52"/>
        <v>0</v>
      </c>
      <c r="AC73" s="50"/>
      <c r="AD73" s="50"/>
      <c r="AE73" s="50"/>
      <c r="AF73" s="50">
        <f t="shared" si="53"/>
        <v>0</v>
      </c>
      <c r="AG73" s="50"/>
      <c r="AH73" s="50">
        <f t="shared" si="54"/>
        <v>0</v>
      </c>
      <c r="AI73" s="50"/>
      <c r="AJ73" s="50">
        <f t="shared" si="55"/>
        <v>0</v>
      </c>
      <c r="AK73" s="50"/>
      <c r="AL73" s="50">
        <f t="shared" si="56"/>
        <v>0</v>
      </c>
      <c r="AM73" s="50"/>
      <c r="AN73" s="50">
        <f t="shared" si="57"/>
        <v>0</v>
      </c>
      <c r="AO73" s="50"/>
      <c r="AP73" s="50">
        <f t="shared" si="58"/>
        <v>0</v>
      </c>
      <c r="AQ73" s="50"/>
      <c r="AR73" s="50">
        <f t="shared" si="59"/>
        <v>0</v>
      </c>
      <c r="AS73" s="50"/>
      <c r="AT73" s="50">
        <f t="shared" si="60"/>
        <v>0</v>
      </c>
      <c r="AV73" s="27">
        <f t="shared" si="61"/>
        <v>0</v>
      </c>
    </row>
    <row r="74" spans="1:60" x14ac:dyDescent="0.2">
      <c r="A74" s="47" t="s">
        <v>1000</v>
      </c>
      <c r="B74" s="48" t="s">
        <v>227</v>
      </c>
      <c r="C74" s="149">
        <v>4.8706659790173461</v>
      </c>
      <c r="D74" s="49">
        <f t="shared" si="41"/>
        <v>4.87</v>
      </c>
      <c r="E74" s="50"/>
      <c r="F74" s="50">
        <f t="shared" si="42"/>
        <v>0</v>
      </c>
      <c r="G74" s="50"/>
      <c r="H74" s="50">
        <f t="shared" si="43"/>
        <v>0</v>
      </c>
      <c r="I74" s="50"/>
      <c r="J74" s="50">
        <f t="shared" si="44"/>
        <v>0</v>
      </c>
      <c r="K74" s="50"/>
      <c r="L74" s="50">
        <f t="shared" si="45"/>
        <v>0</v>
      </c>
      <c r="M74" s="50"/>
      <c r="N74" s="50">
        <f t="shared" si="46"/>
        <v>0</v>
      </c>
      <c r="O74" s="50"/>
      <c r="P74" s="50"/>
      <c r="Q74" s="50"/>
      <c r="R74" s="50">
        <f t="shared" si="47"/>
        <v>0</v>
      </c>
      <c r="S74" s="50"/>
      <c r="T74" s="50">
        <f t="shared" si="48"/>
        <v>0</v>
      </c>
      <c r="U74" s="50"/>
      <c r="V74" s="50">
        <f t="shared" si="49"/>
        <v>0</v>
      </c>
      <c r="W74" s="50"/>
      <c r="X74" s="50">
        <f t="shared" si="50"/>
        <v>0</v>
      </c>
      <c r="Y74" s="50"/>
      <c r="Z74" s="50">
        <f t="shared" si="51"/>
        <v>0</v>
      </c>
      <c r="AA74" s="50"/>
      <c r="AB74" s="50">
        <f t="shared" si="52"/>
        <v>0</v>
      </c>
      <c r="AC74" s="50"/>
      <c r="AD74" s="50"/>
      <c r="AE74" s="50"/>
      <c r="AF74" s="50">
        <f t="shared" si="53"/>
        <v>0</v>
      </c>
      <c r="AG74" s="50"/>
      <c r="AH74" s="50">
        <f t="shared" si="54"/>
        <v>0</v>
      </c>
      <c r="AI74" s="50"/>
      <c r="AJ74" s="50">
        <f t="shared" si="55"/>
        <v>0</v>
      </c>
      <c r="AK74" s="50"/>
      <c r="AL74" s="50">
        <f t="shared" si="56"/>
        <v>0</v>
      </c>
      <c r="AM74" s="50"/>
      <c r="AN74" s="50">
        <f t="shared" si="57"/>
        <v>0</v>
      </c>
      <c r="AO74" s="50"/>
      <c r="AP74" s="50">
        <f t="shared" si="58"/>
        <v>0</v>
      </c>
      <c r="AQ74" s="50"/>
      <c r="AR74" s="50">
        <f t="shared" si="59"/>
        <v>0</v>
      </c>
      <c r="AS74" s="50"/>
      <c r="AT74" s="50">
        <f t="shared" si="60"/>
        <v>0</v>
      </c>
      <c r="AV74" s="27">
        <f t="shared" si="61"/>
        <v>0</v>
      </c>
    </row>
    <row r="75" spans="1:60" ht="13.5" customHeight="1" x14ac:dyDescent="0.2">
      <c r="A75" s="534" t="s">
        <v>248</v>
      </c>
      <c r="B75" s="48" t="s">
        <v>227</v>
      </c>
      <c r="C75" s="49">
        <v>13.49</v>
      </c>
      <c r="D75" s="49">
        <f t="shared" si="41"/>
        <v>13.49</v>
      </c>
      <c r="E75" s="50"/>
      <c r="F75" s="50">
        <f t="shared" si="42"/>
        <v>0</v>
      </c>
      <c r="G75" s="50"/>
      <c r="H75" s="50">
        <f t="shared" si="43"/>
        <v>0</v>
      </c>
      <c r="I75" s="50"/>
      <c r="J75" s="50">
        <f t="shared" si="44"/>
        <v>0</v>
      </c>
      <c r="K75" s="50"/>
      <c r="L75" s="50">
        <f t="shared" si="45"/>
        <v>0</v>
      </c>
      <c r="M75" s="50"/>
      <c r="N75" s="50">
        <f t="shared" si="46"/>
        <v>0</v>
      </c>
      <c r="O75" s="50"/>
      <c r="P75" s="50"/>
      <c r="Q75" s="50"/>
      <c r="R75" s="50">
        <f t="shared" si="47"/>
        <v>0</v>
      </c>
      <c r="S75" s="50"/>
      <c r="T75" s="50">
        <f t="shared" si="48"/>
        <v>0</v>
      </c>
      <c r="U75" s="50"/>
      <c r="V75" s="50">
        <f t="shared" si="49"/>
        <v>0</v>
      </c>
      <c r="W75" s="50"/>
      <c r="X75" s="50">
        <f t="shared" si="50"/>
        <v>0</v>
      </c>
      <c r="Y75" s="50"/>
      <c r="Z75" s="50">
        <f t="shared" si="51"/>
        <v>0</v>
      </c>
      <c r="AA75" s="50"/>
      <c r="AB75" s="50">
        <f t="shared" si="52"/>
        <v>0</v>
      </c>
      <c r="AC75" s="50"/>
      <c r="AD75" s="50"/>
      <c r="AE75" s="50"/>
      <c r="AF75" s="50">
        <f t="shared" si="53"/>
        <v>0</v>
      </c>
      <c r="AG75" s="50"/>
      <c r="AH75" s="50">
        <f t="shared" si="54"/>
        <v>0</v>
      </c>
      <c r="AI75" s="50"/>
      <c r="AJ75" s="50">
        <f t="shared" si="55"/>
        <v>0</v>
      </c>
      <c r="AK75" s="50"/>
      <c r="AL75" s="50">
        <f t="shared" si="56"/>
        <v>0</v>
      </c>
      <c r="AM75" s="50"/>
      <c r="AN75" s="50">
        <f t="shared" si="57"/>
        <v>0</v>
      </c>
      <c r="AO75" s="50"/>
      <c r="AP75" s="50">
        <f t="shared" si="58"/>
        <v>0</v>
      </c>
      <c r="AQ75" s="50"/>
      <c r="AR75" s="50">
        <f t="shared" si="59"/>
        <v>0</v>
      </c>
      <c r="AS75" s="50"/>
      <c r="AT75" s="50">
        <f t="shared" si="60"/>
        <v>0</v>
      </c>
      <c r="AV75" s="27">
        <f t="shared" si="61"/>
        <v>0</v>
      </c>
    </row>
    <row r="76" spans="1:60" ht="13.5" customHeight="1" x14ac:dyDescent="0.2">
      <c r="A76" s="534" t="s">
        <v>249</v>
      </c>
      <c r="B76" s="48" t="s">
        <v>227</v>
      </c>
      <c r="C76" s="49">
        <v>23.1</v>
      </c>
      <c r="D76" s="49">
        <f t="shared" si="41"/>
        <v>23.1</v>
      </c>
      <c r="E76" s="50"/>
      <c r="F76" s="50">
        <f t="shared" si="42"/>
        <v>0</v>
      </c>
      <c r="G76" s="50"/>
      <c r="H76" s="50">
        <f t="shared" si="43"/>
        <v>0</v>
      </c>
      <c r="I76" s="50"/>
      <c r="J76" s="50">
        <f t="shared" si="44"/>
        <v>0</v>
      </c>
      <c r="K76" s="50"/>
      <c r="L76" s="50">
        <f t="shared" si="45"/>
        <v>0</v>
      </c>
      <c r="M76" s="50"/>
      <c r="N76" s="50">
        <f t="shared" si="46"/>
        <v>0</v>
      </c>
      <c r="O76" s="50"/>
      <c r="P76" s="50"/>
      <c r="Q76" s="50"/>
      <c r="R76" s="50">
        <f t="shared" si="47"/>
        <v>0</v>
      </c>
      <c r="S76" s="50"/>
      <c r="T76" s="50">
        <f t="shared" si="48"/>
        <v>0</v>
      </c>
      <c r="U76" s="50"/>
      <c r="V76" s="50">
        <f t="shared" si="49"/>
        <v>0</v>
      </c>
      <c r="W76" s="50"/>
      <c r="X76" s="50">
        <f t="shared" si="50"/>
        <v>0</v>
      </c>
      <c r="Y76" s="50"/>
      <c r="Z76" s="50">
        <f t="shared" si="51"/>
        <v>0</v>
      </c>
      <c r="AA76" s="50"/>
      <c r="AB76" s="50">
        <f t="shared" si="52"/>
        <v>0</v>
      </c>
      <c r="AC76" s="50"/>
      <c r="AD76" s="50"/>
      <c r="AE76" s="50"/>
      <c r="AF76" s="50">
        <f t="shared" si="53"/>
        <v>0</v>
      </c>
      <c r="AG76" s="50"/>
      <c r="AH76" s="50">
        <f t="shared" si="54"/>
        <v>0</v>
      </c>
      <c r="AI76" s="50"/>
      <c r="AJ76" s="50">
        <f t="shared" si="55"/>
        <v>0</v>
      </c>
      <c r="AK76" s="50"/>
      <c r="AL76" s="50">
        <f t="shared" si="56"/>
        <v>0</v>
      </c>
      <c r="AM76" s="50"/>
      <c r="AN76" s="50">
        <f t="shared" si="57"/>
        <v>0</v>
      </c>
      <c r="AO76" s="50"/>
      <c r="AP76" s="50">
        <f t="shared" si="58"/>
        <v>0</v>
      </c>
      <c r="AQ76" s="50"/>
      <c r="AR76" s="50">
        <f t="shared" si="59"/>
        <v>0</v>
      </c>
      <c r="AS76" s="50"/>
      <c r="AT76" s="50">
        <f t="shared" si="60"/>
        <v>0</v>
      </c>
      <c r="AV76" s="27">
        <f t="shared" si="61"/>
        <v>0</v>
      </c>
    </row>
    <row r="77" spans="1:60" x14ac:dyDescent="0.2">
      <c r="A77" s="47" t="s">
        <v>990</v>
      </c>
      <c r="B77" s="48" t="s">
        <v>227</v>
      </c>
      <c r="C77" s="149">
        <v>6.2254338283333581</v>
      </c>
      <c r="D77" s="49">
        <f t="shared" si="41"/>
        <v>6.23</v>
      </c>
      <c r="E77" s="50">
        <v>1</v>
      </c>
      <c r="F77" s="50">
        <f t="shared" si="42"/>
        <v>6.23</v>
      </c>
      <c r="G77" s="50"/>
      <c r="H77" s="50">
        <f t="shared" si="43"/>
        <v>0</v>
      </c>
      <c r="I77" s="50"/>
      <c r="J77" s="50">
        <f t="shared" si="44"/>
        <v>0</v>
      </c>
      <c r="K77" s="50"/>
      <c r="L77" s="50">
        <f t="shared" si="45"/>
        <v>0</v>
      </c>
      <c r="M77" s="50">
        <v>1</v>
      </c>
      <c r="N77" s="50">
        <f t="shared" si="46"/>
        <v>6.23</v>
      </c>
      <c r="O77" s="50">
        <v>2</v>
      </c>
      <c r="P77" s="479">
        <f>D77*O77</f>
        <v>12.46</v>
      </c>
      <c r="Q77" s="50"/>
      <c r="R77" s="50">
        <f t="shared" si="47"/>
        <v>0</v>
      </c>
      <c r="S77" s="50"/>
      <c r="T77" s="50">
        <f t="shared" si="48"/>
        <v>0</v>
      </c>
      <c r="U77" s="50"/>
      <c r="V77" s="50">
        <f t="shared" si="49"/>
        <v>0</v>
      </c>
      <c r="W77" s="50"/>
      <c r="X77" s="50">
        <f t="shared" si="50"/>
        <v>0</v>
      </c>
      <c r="Y77" s="50"/>
      <c r="Z77" s="50">
        <f t="shared" si="51"/>
        <v>0</v>
      </c>
      <c r="AA77" s="50"/>
      <c r="AB77" s="50">
        <f t="shared" si="52"/>
        <v>0</v>
      </c>
      <c r="AC77" s="50"/>
      <c r="AD77" s="50"/>
      <c r="AE77" s="50">
        <v>1</v>
      </c>
      <c r="AF77" s="479">
        <f t="shared" si="53"/>
        <v>6.23</v>
      </c>
      <c r="AG77" s="50">
        <v>1</v>
      </c>
      <c r="AH77" s="50">
        <f t="shared" si="54"/>
        <v>6.23</v>
      </c>
      <c r="AI77" s="50">
        <v>1</v>
      </c>
      <c r="AJ77" s="50">
        <f t="shared" si="55"/>
        <v>6.23</v>
      </c>
      <c r="AK77" s="50">
        <v>1</v>
      </c>
      <c r="AL77" s="50">
        <f t="shared" si="56"/>
        <v>6.23</v>
      </c>
      <c r="AM77" s="50"/>
      <c r="AN77" s="50">
        <f t="shared" si="57"/>
        <v>0</v>
      </c>
      <c r="AO77" s="50"/>
      <c r="AP77" s="50">
        <f t="shared" si="58"/>
        <v>0</v>
      </c>
      <c r="AQ77" s="50"/>
      <c r="AR77" s="50">
        <f t="shared" si="59"/>
        <v>0</v>
      </c>
      <c r="AS77" s="50">
        <v>0</v>
      </c>
      <c r="AT77" s="50">
        <f t="shared" si="60"/>
        <v>0</v>
      </c>
      <c r="AV77" s="27">
        <f t="shared" si="61"/>
        <v>0</v>
      </c>
    </row>
    <row r="78" spans="1:60" x14ac:dyDescent="0.2">
      <c r="A78" s="47" t="s">
        <v>993</v>
      </c>
      <c r="B78" s="48" t="s">
        <v>227</v>
      </c>
      <c r="C78" s="149">
        <v>8.3406789157389074</v>
      </c>
      <c r="D78" s="49">
        <f t="shared" si="41"/>
        <v>8.34</v>
      </c>
      <c r="E78" s="50"/>
      <c r="F78" s="50">
        <f t="shared" si="42"/>
        <v>0</v>
      </c>
      <c r="G78" s="50">
        <v>1</v>
      </c>
      <c r="H78" s="479">
        <f t="shared" si="43"/>
        <v>8.34</v>
      </c>
      <c r="I78" s="50"/>
      <c r="J78" s="50">
        <f t="shared" si="44"/>
        <v>0</v>
      </c>
      <c r="K78" s="50"/>
      <c r="L78" s="50">
        <f t="shared" si="45"/>
        <v>0</v>
      </c>
      <c r="M78" s="50"/>
      <c r="N78" s="50">
        <f t="shared" si="46"/>
        <v>0</v>
      </c>
      <c r="O78" s="50"/>
      <c r="P78" s="50"/>
      <c r="Q78" s="50"/>
      <c r="R78" s="50">
        <f t="shared" si="47"/>
        <v>0</v>
      </c>
      <c r="S78" s="50"/>
      <c r="T78" s="50">
        <f t="shared" si="48"/>
        <v>0</v>
      </c>
      <c r="U78" s="50"/>
      <c r="V78" s="50">
        <f t="shared" si="49"/>
        <v>0</v>
      </c>
      <c r="W78" s="50"/>
      <c r="X78" s="50">
        <f t="shared" si="50"/>
        <v>0</v>
      </c>
      <c r="Y78" s="50"/>
      <c r="Z78" s="50">
        <f t="shared" si="51"/>
        <v>0</v>
      </c>
      <c r="AA78" s="50"/>
      <c r="AB78" s="50">
        <f t="shared" si="52"/>
        <v>0</v>
      </c>
      <c r="AC78" s="50"/>
      <c r="AD78" s="50"/>
      <c r="AE78" s="50"/>
      <c r="AF78" s="50">
        <f t="shared" si="53"/>
        <v>0</v>
      </c>
      <c r="AG78" s="50"/>
      <c r="AH78" s="50">
        <f t="shared" si="54"/>
        <v>0</v>
      </c>
      <c r="AI78" s="50"/>
      <c r="AJ78" s="50">
        <f t="shared" si="55"/>
        <v>0</v>
      </c>
      <c r="AK78" s="50"/>
      <c r="AL78" s="50">
        <f t="shared" si="56"/>
        <v>0</v>
      </c>
      <c r="AM78" s="50">
        <v>1</v>
      </c>
      <c r="AN78" s="50">
        <f t="shared" si="57"/>
        <v>8.34</v>
      </c>
      <c r="AO78" s="50"/>
      <c r="AP78" s="50">
        <f t="shared" si="58"/>
        <v>0</v>
      </c>
      <c r="AQ78" s="50"/>
      <c r="AR78" s="50">
        <f t="shared" si="59"/>
        <v>0</v>
      </c>
      <c r="AS78" s="50"/>
      <c r="AT78" s="50">
        <f t="shared" si="60"/>
        <v>0</v>
      </c>
      <c r="AV78" s="27">
        <f t="shared" si="61"/>
        <v>0</v>
      </c>
    </row>
    <row r="79" spans="1:60" x14ac:dyDescent="0.2">
      <c r="A79" s="47" t="s">
        <v>250</v>
      </c>
      <c r="B79" s="48" t="s">
        <v>227</v>
      </c>
      <c r="C79" s="149">
        <v>8.8893314296967318</v>
      </c>
      <c r="D79" s="49">
        <f t="shared" si="41"/>
        <v>8.89</v>
      </c>
      <c r="E79" s="50"/>
      <c r="F79" s="50">
        <f t="shared" si="42"/>
        <v>0</v>
      </c>
      <c r="G79" s="50"/>
      <c r="H79" s="50">
        <f t="shared" si="43"/>
        <v>0</v>
      </c>
      <c r="I79" s="50"/>
      <c r="J79" s="50">
        <f t="shared" si="44"/>
        <v>0</v>
      </c>
      <c r="K79" s="50"/>
      <c r="L79" s="50">
        <f t="shared" si="45"/>
        <v>0</v>
      </c>
      <c r="M79" s="50"/>
      <c r="N79" s="50">
        <f t="shared" si="46"/>
        <v>0</v>
      </c>
      <c r="O79" s="50"/>
      <c r="P79" s="50"/>
      <c r="Q79" s="50"/>
      <c r="R79" s="50">
        <f t="shared" si="47"/>
        <v>0</v>
      </c>
      <c r="S79" s="50"/>
      <c r="T79" s="50">
        <f t="shared" si="48"/>
        <v>0</v>
      </c>
      <c r="U79" s="50"/>
      <c r="V79" s="50">
        <f t="shared" si="49"/>
        <v>0</v>
      </c>
      <c r="W79" s="50"/>
      <c r="X79" s="50">
        <f t="shared" si="50"/>
        <v>0</v>
      </c>
      <c r="Y79" s="50"/>
      <c r="Z79" s="50">
        <f t="shared" si="51"/>
        <v>0</v>
      </c>
      <c r="AA79" s="50">
        <v>2</v>
      </c>
      <c r="AB79" s="479">
        <f t="shared" si="52"/>
        <v>17.78</v>
      </c>
      <c r="AC79" s="50"/>
      <c r="AD79" s="50"/>
      <c r="AE79" s="50"/>
      <c r="AF79" s="50">
        <f t="shared" si="53"/>
        <v>0</v>
      </c>
      <c r="AG79" s="50"/>
      <c r="AH79" s="50">
        <f t="shared" si="54"/>
        <v>0</v>
      </c>
      <c r="AI79" s="50"/>
      <c r="AJ79" s="50">
        <f t="shared" si="55"/>
        <v>0</v>
      </c>
      <c r="AK79" s="50"/>
      <c r="AL79" s="50">
        <f t="shared" si="56"/>
        <v>0</v>
      </c>
      <c r="AM79" s="50"/>
      <c r="AN79" s="50">
        <f t="shared" si="57"/>
        <v>0</v>
      </c>
      <c r="AO79" s="50"/>
      <c r="AP79" s="50">
        <f t="shared" si="58"/>
        <v>0</v>
      </c>
      <c r="AQ79" s="50"/>
      <c r="AR79" s="50">
        <f t="shared" si="59"/>
        <v>0</v>
      </c>
      <c r="AS79" s="50"/>
      <c r="AT79" s="50">
        <f t="shared" si="60"/>
        <v>0</v>
      </c>
      <c r="AV79" s="27">
        <f t="shared" si="61"/>
        <v>0</v>
      </c>
      <c r="AX79" s="27">
        <f>D79*AW79</f>
        <v>0</v>
      </c>
      <c r="AZ79" s="27">
        <f>D79*AY79</f>
        <v>0</v>
      </c>
      <c r="BB79" s="27">
        <f>D79*BA79</f>
        <v>0</v>
      </c>
      <c r="BD79" s="27">
        <f>D79*BC79</f>
        <v>0</v>
      </c>
      <c r="BF79" s="27">
        <f>D79*BE79</f>
        <v>0</v>
      </c>
      <c r="BH79" s="27">
        <f>D79*BG79</f>
        <v>0</v>
      </c>
    </row>
    <row r="80" spans="1:60" x14ac:dyDescent="0.2">
      <c r="A80" s="47" t="s">
        <v>1004</v>
      </c>
      <c r="B80" s="48" t="s">
        <v>227</v>
      </c>
      <c r="C80" s="149">
        <v>4.9966343262860349</v>
      </c>
      <c r="D80" s="49">
        <f t="shared" si="41"/>
        <v>5</v>
      </c>
      <c r="E80" s="50"/>
      <c r="F80" s="50">
        <f t="shared" si="42"/>
        <v>0</v>
      </c>
      <c r="G80" s="50"/>
      <c r="H80" s="50">
        <f t="shared" si="43"/>
        <v>0</v>
      </c>
      <c r="I80" s="50"/>
      <c r="J80" s="50">
        <f t="shared" si="44"/>
        <v>0</v>
      </c>
      <c r="K80" s="50"/>
      <c r="L80" s="50">
        <f t="shared" si="45"/>
        <v>0</v>
      </c>
      <c r="M80" s="50"/>
      <c r="N80" s="50">
        <f t="shared" si="46"/>
        <v>0</v>
      </c>
      <c r="O80" s="50"/>
      <c r="P80" s="50"/>
      <c r="Q80" s="50"/>
      <c r="R80" s="50">
        <f t="shared" si="47"/>
        <v>0</v>
      </c>
      <c r="S80" s="50"/>
      <c r="T80" s="50">
        <f t="shared" si="48"/>
        <v>0</v>
      </c>
      <c r="U80" s="50"/>
      <c r="V80" s="50">
        <f t="shared" si="49"/>
        <v>0</v>
      </c>
      <c r="W80" s="50"/>
      <c r="X80" s="50">
        <f t="shared" si="50"/>
        <v>0</v>
      </c>
      <c r="Y80" s="50"/>
      <c r="Z80" s="50">
        <f t="shared" si="51"/>
        <v>0</v>
      </c>
      <c r="AA80" s="50"/>
      <c r="AB80" s="50">
        <f t="shared" si="52"/>
        <v>0</v>
      </c>
      <c r="AC80" s="50"/>
      <c r="AD80" s="50"/>
      <c r="AE80" s="50"/>
      <c r="AF80" s="50">
        <f t="shared" si="53"/>
        <v>0</v>
      </c>
      <c r="AG80" s="50"/>
      <c r="AH80" s="50">
        <f t="shared" si="54"/>
        <v>0</v>
      </c>
      <c r="AI80" s="50"/>
      <c r="AJ80" s="50">
        <f t="shared" si="55"/>
        <v>0</v>
      </c>
      <c r="AK80" s="50"/>
      <c r="AL80" s="50">
        <f t="shared" si="56"/>
        <v>0</v>
      </c>
      <c r="AM80" s="50"/>
      <c r="AN80" s="50">
        <f t="shared" si="57"/>
        <v>0</v>
      </c>
      <c r="AO80" s="50"/>
      <c r="AP80" s="50">
        <f t="shared" si="58"/>
        <v>0</v>
      </c>
      <c r="AQ80" s="50"/>
      <c r="AR80" s="50">
        <f t="shared" si="59"/>
        <v>0</v>
      </c>
      <c r="AS80" s="50"/>
      <c r="AT80" s="50">
        <f t="shared" si="60"/>
        <v>0</v>
      </c>
      <c r="AV80" s="27">
        <f t="shared" si="61"/>
        <v>0</v>
      </c>
    </row>
    <row r="81" spans="1:48" x14ac:dyDescent="0.2">
      <c r="A81" s="534" t="s">
        <v>251</v>
      </c>
      <c r="B81" s="48" t="s">
        <v>227</v>
      </c>
      <c r="C81" s="49">
        <v>6.56</v>
      </c>
      <c r="D81" s="49">
        <f t="shared" si="41"/>
        <v>6.56</v>
      </c>
      <c r="E81" s="50"/>
      <c r="F81" s="50">
        <f t="shared" si="42"/>
        <v>0</v>
      </c>
      <c r="G81" s="50"/>
      <c r="H81" s="50">
        <f t="shared" si="43"/>
        <v>0</v>
      </c>
      <c r="I81" s="50"/>
      <c r="J81" s="50">
        <f t="shared" si="44"/>
        <v>0</v>
      </c>
      <c r="K81" s="50"/>
      <c r="L81" s="50">
        <f t="shared" si="45"/>
        <v>0</v>
      </c>
      <c r="M81" s="50"/>
      <c r="N81" s="50">
        <f t="shared" si="46"/>
        <v>0</v>
      </c>
      <c r="O81" s="50"/>
      <c r="P81" s="50"/>
      <c r="Q81" s="50"/>
      <c r="R81" s="50">
        <f t="shared" si="47"/>
        <v>0</v>
      </c>
      <c r="S81" s="50"/>
      <c r="T81" s="50">
        <f t="shared" si="48"/>
        <v>0</v>
      </c>
      <c r="U81" s="50"/>
      <c r="V81" s="50">
        <f t="shared" si="49"/>
        <v>0</v>
      </c>
      <c r="W81" s="50"/>
      <c r="X81" s="50">
        <f t="shared" si="50"/>
        <v>0</v>
      </c>
      <c r="Y81" s="50"/>
      <c r="Z81" s="50">
        <f t="shared" si="51"/>
        <v>0</v>
      </c>
      <c r="AA81" s="50"/>
      <c r="AB81" s="50">
        <f t="shared" si="52"/>
        <v>0</v>
      </c>
      <c r="AC81" s="50"/>
      <c r="AD81" s="50"/>
      <c r="AE81" s="50"/>
      <c r="AF81" s="50">
        <f t="shared" si="53"/>
        <v>0</v>
      </c>
      <c r="AG81" s="50"/>
      <c r="AH81" s="50">
        <f t="shared" si="54"/>
        <v>0</v>
      </c>
      <c r="AI81" s="50"/>
      <c r="AJ81" s="50">
        <f t="shared" si="55"/>
        <v>0</v>
      </c>
      <c r="AK81" s="50"/>
      <c r="AL81" s="50">
        <f t="shared" si="56"/>
        <v>0</v>
      </c>
      <c r="AM81" s="50"/>
      <c r="AN81" s="50">
        <f t="shared" si="57"/>
        <v>0</v>
      </c>
      <c r="AO81" s="50"/>
      <c r="AP81" s="50">
        <f t="shared" si="58"/>
        <v>0</v>
      </c>
      <c r="AQ81" s="50"/>
      <c r="AR81" s="50">
        <f t="shared" si="59"/>
        <v>0</v>
      </c>
      <c r="AS81" s="50"/>
      <c r="AT81" s="50">
        <f t="shared" si="60"/>
        <v>0</v>
      </c>
      <c r="AV81" s="27">
        <f t="shared" si="61"/>
        <v>0</v>
      </c>
    </row>
    <row r="82" spans="1:48" x14ac:dyDescent="0.2">
      <c r="A82" s="47" t="s">
        <v>252</v>
      </c>
      <c r="B82" s="48" t="s">
        <v>227</v>
      </c>
      <c r="C82" s="149">
        <v>11.483461197013501</v>
      </c>
      <c r="D82" s="49">
        <f t="shared" si="41"/>
        <v>11.48</v>
      </c>
      <c r="E82" s="50"/>
      <c r="F82" s="50">
        <f t="shared" si="42"/>
        <v>0</v>
      </c>
      <c r="G82" s="50"/>
      <c r="H82" s="50">
        <f t="shared" si="43"/>
        <v>0</v>
      </c>
      <c r="I82" s="50"/>
      <c r="J82" s="50">
        <f t="shared" si="44"/>
        <v>0</v>
      </c>
      <c r="K82" s="50"/>
      <c r="L82" s="50">
        <f t="shared" si="45"/>
        <v>0</v>
      </c>
      <c r="M82" s="50"/>
      <c r="N82" s="50">
        <f t="shared" si="46"/>
        <v>0</v>
      </c>
      <c r="O82" s="50"/>
      <c r="P82" s="50"/>
      <c r="Q82" s="50">
        <v>1</v>
      </c>
      <c r="R82" s="50">
        <f t="shared" si="47"/>
        <v>11.48</v>
      </c>
      <c r="S82" s="50">
        <v>1</v>
      </c>
      <c r="T82" s="50">
        <f t="shared" si="48"/>
        <v>11.48</v>
      </c>
      <c r="U82" s="50">
        <v>1</v>
      </c>
      <c r="V82" s="50">
        <f t="shared" si="49"/>
        <v>11.48</v>
      </c>
      <c r="W82" s="50">
        <v>1</v>
      </c>
      <c r="X82" s="50">
        <f t="shared" si="50"/>
        <v>11.48</v>
      </c>
      <c r="Y82" s="50">
        <v>1</v>
      </c>
      <c r="Z82" s="50">
        <f t="shared" si="51"/>
        <v>11.48</v>
      </c>
      <c r="AA82" s="50"/>
      <c r="AB82" s="50">
        <f t="shared" si="52"/>
        <v>0</v>
      </c>
      <c r="AC82" s="50"/>
      <c r="AD82" s="50"/>
      <c r="AE82" s="50"/>
      <c r="AF82" s="50">
        <f t="shared" si="53"/>
        <v>0</v>
      </c>
      <c r="AG82" s="50"/>
      <c r="AH82" s="50">
        <f t="shared" si="54"/>
        <v>0</v>
      </c>
      <c r="AI82" s="50"/>
      <c r="AJ82" s="50">
        <f t="shared" si="55"/>
        <v>0</v>
      </c>
      <c r="AK82" s="50"/>
      <c r="AL82" s="50">
        <f t="shared" si="56"/>
        <v>0</v>
      </c>
      <c r="AM82" s="50"/>
      <c r="AN82" s="50">
        <f t="shared" si="57"/>
        <v>0</v>
      </c>
      <c r="AO82" s="50"/>
      <c r="AP82" s="50">
        <f t="shared" si="58"/>
        <v>0</v>
      </c>
      <c r="AQ82" s="50"/>
      <c r="AR82" s="50">
        <f t="shared" si="59"/>
        <v>0</v>
      </c>
      <c r="AS82" s="50"/>
      <c r="AT82" s="50">
        <f t="shared" si="60"/>
        <v>0</v>
      </c>
      <c r="AV82" s="27">
        <f t="shared" si="61"/>
        <v>0</v>
      </c>
    </row>
    <row r="83" spans="1:48" x14ac:dyDescent="0.2">
      <c r="A83" s="47" t="s">
        <v>994</v>
      </c>
      <c r="B83" s="48" t="s">
        <v>227</v>
      </c>
      <c r="C83" s="149">
        <v>15.409121460988064</v>
      </c>
      <c r="D83" s="49">
        <f t="shared" si="41"/>
        <v>15.41</v>
      </c>
      <c r="E83" s="50"/>
      <c r="F83" s="50">
        <f t="shared" si="42"/>
        <v>0</v>
      </c>
      <c r="G83" s="50">
        <v>1</v>
      </c>
      <c r="H83" s="479">
        <f t="shared" si="43"/>
        <v>15.41</v>
      </c>
      <c r="I83" s="50">
        <v>1</v>
      </c>
      <c r="J83" s="50">
        <f t="shared" si="44"/>
        <v>15.41</v>
      </c>
      <c r="K83" s="50"/>
      <c r="L83" s="50">
        <f t="shared" si="45"/>
        <v>0</v>
      </c>
      <c r="M83" s="50"/>
      <c r="N83" s="50">
        <f t="shared" si="46"/>
        <v>0</v>
      </c>
      <c r="O83" s="50"/>
      <c r="P83" s="50"/>
      <c r="Q83" s="50"/>
      <c r="R83" s="50">
        <f t="shared" si="47"/>
        <v>0</v>
      </c>
      <c r="S83" s="50"/>
      <c r="T83" s="50">
        <f t="shared" si="48"/>
        <v>0</v>
      </c>
      <c r="U83" s="50"/>
      <c r="V83" s="50">
        <f t="shared" si="49"/>
        <v>0</v>
      </c>
      <c r="W83" s="50"/>
      <c r="X83" s="50">
        <f t="shared" si="50"/>
        <v>0</v>
      </c>
      <c r="Y83" s="50"/>
      <c r="Z83" s="50">
        <f t="shared" si="51"/>
        <v>0</v>
      </c>
      <c r="AA83" s="50"/>
      <c r="AB83" s="50">
        <f t="shared" si="52"/>
        <v>0</v>
      </c>
      <c r="AC83" s="50"/>
      <c r="AD83" s="50"/>
      <c r="AE83" s="50"/>
      <c r="AF83" s="50">
        <f t="shared" si="53"/>
        <v>0</v>
      </c>
      <c r="AG83" s="50"/>
      <c r="AH83" s="50">
        <f t="shared" si="54"/>
        <v>0</v>
      </c>
      <c r="AI83" s="50"/>
      <c r="AJ83" s="50">
        <f t="shared" si="55"/>
        <v>0</v>
      </c>
      <c r="AK83" s="50"/>
      <c r="AL83" s="50">
        <f t="shared" si="56"/>
        <v>0</v>
      </c>
      <c r="AM83" s="50"/>
      <c r="AN83" s="50">
        <f t="shared" si="57"/>
        <v>0</v>
      </c>
      <c r="AO83" s="50"/>
      <c r="AP83" s="50">
        <f t="shared" si="58"/>
        <v>0</v>
      </c>
      <c r="AQ83" s="50"/>
      <c r="AR83" s="50">
        <f t="shared" si="59"/>
        <v>0</v>
      </c>
      <c r="AS83" s="50"/>
      <c r="AT83" s="50">
        <f t="shared" si="60"/>
        <v>0</v>
      </c>
      <c r="AV83" s="27">
        <f t="shared" si="61"/>
        <v>0</v>
      </c>
    </row>
    <row r="84" spans="1:48" x14ac:dyDescent="0.2">
      <c r="A84" s="47" t="s">
        <v>253</v>
      </c>
      <c r="B84" s="48" t="s">
        <v>227</v>
      </c>
      <c r="C84" s="149">
        <v>16.355005459216439</v>
      </c>
      <c r="D84" s="49">
        <f t="shared" si="41"/>
        <v>16.36</v>
      </c>
      <c r="E84" s="50"/>
      <c r="F84" s="50">
        <f t="shared" si="42"/>
        <v>0</v>
      </c>
      <c r="G84" s="50"/>
      <c r="H84" s="50">
        <f t="shared" si="43"/>
        <v>0</v>
      </c>
      <c r="I84" s="50"/>
      <c r="J84" s="50">
        <f t="shared" si="44"/>
        <v>0</v>
      </c>
      <c r="K84" s="50">
        <v>1</v>
      </c>
      <c r="L84" s="50">
        <f t="shared" si="45"/>
        <v>16.36</v>
      </c>
      <c r="M84" s="50"/>
      <c r="N84" s="50">
        <f t="shared" si="46"/>
        <v>0</v>
      </c>
      <c r="O84" s="50"/>
      <c r="P84" s="50"/>
      <c r="Q84" s="50"/>
      <c r="R84" s="50">
        <f t="shared" si="47"/>
        <v>0</v>
      </c>
      <c r="S84" s="50"/>
      <c r="T84" s="50">
        <f t="shared" si="48"/>
        <v>0</v>
      </c>
      <c r="U84" s="50"/>
      <c r="V84" s="50">
        <f t="shared" si="49"/>
        <v>0</v>
      </c>
      <c r="W84" s="50"/>
      <c r="X84" s="50">
        <f t="shared" si="50"/>
        <v>0</v>
      </c>
      <c r="Y84" s="50"/>
      <c r="Z84" s="50">
        <f t="shared" si="51"/>
        <v>0</v>
      </c>
      <c r="AA84" s="50"/>
      <c r="AB84" s="50">
        <f t="shared" si="52"/>
        <v>0</v>
      </c>
      <c r="AC84" s="50"/>
      <c r="AD84" s="50"/>
      <c r="AE84" s="50"/>
      <c r="AF84" s="50">
        <f t="shared" si="53"/>
        <v>0</v>
      </c>
      <c r="AG84" s="50"/>
      <c r="AH84" s="50">
        <f t="shared" si="54"/>
        <v>0</v>
      </c>
      <c r="AI84" s="50"/>
      <c r="AJ84" s="50">
        <f t="shared" si="55"/>
        <v>0</v>
      </c>
      <c r="AK84" s="50"/>
      <c r="AL84" s="50">
        <f t="shared" si="56"/>
        <v>0</v>
      </c>
      <c r="AM84" s="50"/>
      <c r="AN84" s="50">
        <f t="shared" si="57"/>
        <v>0</v>
      </c>
      <c r="AO84" s="50"/>
      <c r="AP84" s="50">
        <f t="shared" si="58"/>
        <v>0</v>
      </c>
      <c r="AQ84" s="50"/>
      <c r="AR84" s="50">
        <f t="shared" si="59"/>
        <v>0</v>
      </c>
      <c r="AS84" s="50"/>
      <c r="AT84" s="50">
        <f t="shared" si="60"/>
        <v>0</v>
      </c>
      <c r="AV84" s="27">
        <f t="shared" si="61"/>
        <v>0</v>
      </c>
    </row>
    <row r="85" spans="1:48" x14ac:dyDescent="0.2">
      <c r="A85" s="534" t="s">
        <v>254</v>
      </c>
      <c r="B85" s="48" t="s">
        <v>227</v>
      </c>
      <c r="C85" s="49">
        <v>14.18</v>
      </c>
      <c r="D85" s="49">
        <f t="shared" si="41"/>
        <v>14.18</v>
      </c>
      <c r="E85" s="50"/>
      <c r="F85" s="50">
        <f t="shared" si="42"/>
        <v>0</v>
      </c>
      <c r="G85" s="50"/>
      <c r="H85" s="50">
        <f t="shared" si="43"/>
        <v>0</v>
      </c>
      <c r="I85" s="50"/>
      <c r="J85" s="50">
        <f t="shared" si="44"/>
        <v>0</v>
      </c>
      <c r="K85" s="50"/>
      <c r="L85" s="50">
        <f t="shared" si="45"/>
        <v>0</v>
      </c>
      <c r="M85" s="50"/>
      <c r="N85" s="50">
        <f t="shared" si="46"/>
        <v>0</v>
      </c>
      <c r="O85" s="50"/>
      <c r="P85" s="50"/>
      <c r="Q85" s="50"/>
      <c r="R85" s="50">
        <f t="shared" si="47"/>
        <v>0</v>
      </c>
      <c r="S85" s="50"/>
      <c r="T85" s="50">
        <f t="shared" si="48"/>
        <v>0</v>
      </c>
      <c r="U85" s="50"/>
      <c r="V85" s="50">
        <f t="shared" si="49"/>
        <v>0</v>
      </c>
      <c r="W85" s="50"/>
      <c r="X85" s="50">
        <f t="shared" si="50"/>
        <v>0</v>
      </c>
      <c r="Y85" s="50"/>
      <c r="Z85" s="50">
        <f t="shared" si="51"/>
        <v>0</v>
      </c>
      <c r="AA85" s="50"/>
      <c r="AB85" s="50">
        <f t="shared" si="52"/>
        <v>0</v>
      </c>
      <c r="AC85" s="50"/>
      <c r="AD85" s="50"/>
      <c r="AE85" s="50"/>
      <c r="AF85" s="50">
        <f t="shared" si="53"/>
        <v>0</v>
      </c>
      <c r="AG85" s="50"/>
      <c r="AH85" s="50">
        <f t="shared" si="54"/>
        <v>0</v>
      </c>
      <c r="AI85" s="50"/>
      <c r="AJ85" s="50">
        <f t="shared" si="55"/>
        <v>0</v>
      </c>
      <c r="AK85" s="50"/>
      <c r="AL85" s="50">
        <f t="shared" si="56"/>
        <v>0</v>
      </c>
      <c r="AM85" s="50"/>
      <c r="AN85" s="50">
        <f t="shared" si="57"/>
        <v>0</v>
      </c>
      <c r="AO85" s="50"/>
      <c r="AP85" s="50">
        <f t="shared" si="58"/>
        <v>0</v>
      </c>
      <c r="AQ85" s="50"/>
      <c r="AR85" s="50">
        <f t="shared" si="59"/>
        <v>0</v>
      </c>
      <c r="AS85" s="50"/>
      <c r="AT85" s="50">
        <f t="shared" si="60"/>
        <v>0</v>
      </c>
      <c r="AV85" s="27">
        <f t="shared" si="61"/>
        <v>0</v>
      </c>
    </row>
    <row r="86" spans="1:48" x14ac:dyDescent="0.2">
      <c r="A86" s="534" t="s">
        <v>255</v>
      </c>
      <c r="B86" s="48" t="s">
        <v>227</v>
      </c>
      <c r="C86" s="49">
        <v>17.059999999999999</v>
      </c>
      <c r="D86" s="49">
        <f t="shared" si="41"/>
        <v>17.059999999999999</v>
      </c>
      <c r="E86" s="50"/>
      <c r="F86" s="50">
        <f t="shared" si="42"/>
        <v>0</v>
      </c>
      <c r="G86" s="50"/>
      <c r="H86" s="50">
        <f t="shared" si="43"/>
        <v>0</v>
      </c>
      <c r="I86" s="50"/>
      <c r="J86" s="50">
        <f t="shared" si="44"/>
        <v>0</v>
      </c>
      <c r="K86" s="50"/>
      <c r="L86" s="50">
        <f t="shared" si="45"/>
        <v>0</v>
      </c>
      <c r="M86" s="50"/>
      <c r="N86" s="50">
        <f t="shared" si="46"/>
        <v>0</v>
      </c>
      <c r="O86" s="50"/>
      <c r="P86" s="50"/>
      <c r="Q86" s="50"/>
      <c r="R86" s="50">
        <f t="shared" si="47"/>
        <v>0</v>
      </c>
      <c r="S86" s="50"/>
      <c r="T86" s="50">
        <f t="shared" si="48"/>
        <v>0</v>
      </c>
      <c r="U86" s="50"/>
      <c r="V86" s="50">
        <f t="shared" si="49"/>
        <v>0</v>
      </c>
      <c r="W86" s="50"/>
      <c r="X86" s="50">
        <f t="shared" si="50"/>
        <v>0</v>
      </c>
      <c r="Y86" s="50"/>
      <c r="Z86" s="50">
        <f t="shared" si="51"/>
        <v>0</v>
      </c>
      <c r="AA86" s="50"/>
      <c r="AB86" s="50">
        <f t="shared" si="52"/>
        <v>0</v>
      </c>
      <c r="AC86" s="50"/>
      <c r="AD86" s="50"/>
      <c r="AE86" s="50"/>
      <c r="AF86" s="50">
        <f t="shared" si="53"/>
        <v>0</v>
      </c>
      <c r="AG86" s="50"/>
      <c r="AH86" s="50">
        <f t="shared" si="54"/>
        <v>0</v>
      </c>
      <c r="AI86" s="50"/>
      <c r="AJ86" s="50">
        <f t="shared" si="55"/>
        <v>0</v>
      </c>
      <c r="AK86" s="50"/>
      <c r="AL86" s="50">
        <f t="shared" si="56"/>
        <v>0</v>
      </c>
      <c r="AM86" s="50"/>
      <c r="AN86" s="50">
        <f t="shared" si="57"/>
        <v>0</v>
      </c>
      <c r="AO86" s="50"/>
      <c r="AP86" s="50">
        <f t="shared" si="58"/>
        <v>0</v>
      </c>
      <c r="AQ86" s="50"/>
      <c r="AR86" s="50">
        <f t="shared" si="59"/>
        <v>0</v>
      </c>
      <c r="AS86" s="50"/>
      <c r="AT86" s="50">
        <f t="shared" si="60"/>
        <v>0</v>
      </c>
      <c r="AV86" s="27">
        <f t="shared" si="61"/>
        <v>0</v>
      </c>
    </row>
    <row r="87" spans="1:48" x14ac:dyDescent="0.2">
      <c r="A87" s="47" t="s">
        <v>1077</v>
      </c>
      <c r="B87" s="48" t="s">
        <v>227</v>
      </c>
      <c r="C87" s="49">
        <v>6.726797295886648</v>
      </c>
      <c r="D87" s="49">
        <f t="shared" si="41"/>
        <v>6.73</v>
      </c>
      <c r="E87" s="50"/>
      <c r="F87" s="50">
        <f t="shared" si="42"/>
        <v>0</v>
      </c>
      <c r="G87" s="50">
        <v>1</v>
      </c>
      <c r="H87" s="50">
        <f t="shared" si="43"/>
        <v>6.73</v>
      </c>
      <c r="I87" s="50"/>
      <c r="J87" s="50">
        <f t="shared" si="44"/>
        <v>0</v>
      </c>
      <c r="K87" s="50"/>
      <c r="L87" s="50">
        <f t="shared" si="45"/>
        <v>0</v>
      </c>
      <c r="M87" s="50"/>
      <c r="N87" s="50">
        <f t="shared" si="46"/>
        <v>0</v>
      </c>
      <c r="O87" s="50">
        <v>1</v>
      </c>
      <c r="P87" s="50">
        <f>D87*O87</f>
        <v>6.73</v>
      </c>
      <c r="Q87" s="50"/>
      <c r="R87" s="50">
        <f t="shared" si="47"/>
        <v>0</v>
      </c>
      <c r="S87" s="50"/>
      <c r="T87" s="50">
        <f t="shared" si="48"/>
        <v>0</v>
      </c>
      <c r="U87" s="50"/>
      <c r="V87" s="50">
        <f t="shared" si="49"/>
        <v>0</v>
      </c>
      <c r="W87" s="50"/>
      <c r="X87" s="50">
        <f t="shared" si="50"/>
        <v>0</v>
      </c>
      <c r="Y87" s="50"/>
      <c r="Z87" s="50">
        <f t="shared" si="51"/>
        <v>0</v>
      </c>
      <c r="AA87" s="50">
        <v>1</v>
      </c>
      <c r="AB87" s="479">
        <f t="shared" si="52"/>
        <v>6.73</v>
      </c>
      <c r="AC87" s="50"/>
      <c r="AD87" s="50"/>
      <c r="AE87" s="50"/>
      <c r="AF87" s="50">
        <f t="shared" si="53"/>
        <v>0</v>
      </c>
      <c r="AG87" s="50"/>
      <c r="AH87" s="50">
        <f t="shared" si="54"/>
        <v>0</v>
      </c>
      <c r="AI87" s="50"/>
      <c r="AJ87" s="50">
        <f t="shared" si="55"/>
        <v>0</v>
      </c>
      <c r="AK87" s="50"/>
      <c r="AL87" s="50">
        <f t="shared" si="56"/>
        <v>0</v>
      </c>
      <c r="AM87" s="50"/>
      <c r="AN87" s="50">
        <f t="shared" si="57"/>
        <v>0</v>
      </c>
      <c r="AO87" s="50"/>
      <c r="AP87" s="50">
        <f t="shared" si="58"/>
        <v>0</v>
      </c>
      <c r="AQ87" s="50"/>
      <c r="AR87" s="50">
        <f t="shared" si="59"/>
        <v>0</v>
      </c>
      <c r="AS87" s="50"/>
      <c r="AT87" s="50">
        <f t="shared" si="60"/>
        <v>0</v>
      </c>
      <c r="AV87" s="27">
        <f t="shared" si="61"/>
        <v>0</v>
      </c>
    </row>
    <row r="88" spans="1:48" x14ac:dyDescent="0.2">
      <c r="A88" s="47" t="s">
        <v>257</v>
      </c>
      <c r="B88" s="48" t="s">
        <v>227</v>
      </c>
      <c r="C88" s="149">
        <v>6.8267894004828245</v>
      </c>
      <c r="D88" s="49">
        <f t="shared" si="41"/>
        <v>6.83</v>
      </c>
      <c r="E88" s="50"/>
      <c r="F88" s="50">
        <f t="shared" si="42"/>
        <v>0</v>
      </c>
      <c r="G88" s="50"/>
      <c r="H88" s="50">
        <f t="shared" si="43"/>
        <v>0</v>
      </c>
      <c r="I88" s="50"/>
      <c r="J88" s="50">
        <f t="shared" si="44"/>
        <v>0</v>
      </c>
      <c r="K88" s="50"/>
      <c r="L88" s="50">
        <f t="shared" si="45"/>
        <v>0</v>
      </c>
      <c r="M88" s="50"/>
      <c r="N88" s="50">
        <f t="shared" si="46"/>
        <v>0</v>
      </c>
      <c r="O88" s="50"/>
      <c r="P88" s="50"/>
      <c r="Q88" s="50"/>
      <c r="R88" s="50">
        <f t="shared" si="47"/>
        <v>0</v>
      </c>
      <c r="S88" s="50"/>
      <c r="T88" s="50">
        <f t="shared" si="48"/>
        <v>0</v>
      </c>
      <c r="U88" s="50"/>
      <c r="V88" s="50">
        <f t="shared" si="49"/>
        <v>0</v>
      </c>
      <c r="W88" s="50"/>
      <c r="X88" s="50">
        <f t="shared" si="50"/>
        <v>0</v>
      </c>
      <c r="Y88" s="50"/>
      <c r="Z88" s="50">
        <f t="shared" si="51"/>
        <v>0</v>
      </c>
      <c r="AA88" s="50"/>
      <c r="AB88" s="50">
        <f t="shared" si="52"/>
        <v>0</v>
      </c>
      <c r="AC88" s="50"/>
      <c r="AD88" s="50"/>
      <c r="AE88" s="50"/>
      <c r="AF88" s="50">
        <f t="shared" si="53"/>
        <v>0</v>
      </c>
      <c r="AG88" s="50"/>
      <c r="AH88" s="50">
        <f t="shared" si="54"/>
        <v>0</v>
      </c>
      <c r="AI88" s="50"/>
      <c r="AJ88" s="50">
        <f t="shared" si="55"/>
        <v>0</v>
      </c>
      <c r="AK88" s="50"/>
      <c r="AL88" s="50">
        <f t="shared" si="56"/>
        <v>0</v>
      </c>
      <c r="AM88" s="50"/>
      <c r="AN88" s="50">
        <f t="shared" si="57"/>
        <v>0</v>
      </c>
      <c r="AO88" s="50"/>
      <c r="AP88" s="50">
        <f t="shared" si="58"/>
        <v>0</v>
      </c>
      <c r="AQ88" s="50"/>
      <c r="AR88" s="50">
        <f t="shared" si="59"/>
        <v>0</v>
      </c>
      <c r="AS88" s="50"/>
      <c r="AT88" s="50">
        <f t="shared" si="60"/>
        <v>0</v>
      </c>
      <c r="AV88" s="27">
        <f t="shared" si="61"/>
        <v>0</v>
      </c>
    </row>
    <row r="89" spans="1:48" x14ac:dyDescent="0.2">
      <c r="A89" s="534" t="s">
        <v>258</v>
      </c>
      <c r="B89" s="48" t="s">
        <v>227</v>
      </c>
      <c r="C89" s="49">
        <v>3.28</v>
      </c>
      <c r="D89" s="49">
        <f t="shared" si="41"/>
        <v>3.28</v>
      </c>
      <c r="E89" s="50"/>
      <c r="F89" s="50">
        <f t="shared" si="42"/>
        <v>0</v>
      </c>
      <c r="G89" s="50"/>
      <c r="H89" s="50">
        <f t="shared" si="43"/>
        <v>0</v>
      </c>
      <c r="I89" s="50"/>
      <c r="J89" s="50">
        <f t="shared" si="44"/>
        <v>0</v>
      </c>
      <c r="K89" s="50"/>
      <c r="L89" s="50">
        <f t="shared" si="45"/>
        <v>0</v>
      </c>
      <c r="M89" s="50"/>
      <c r="N89" s="50">
        <f t="shared" si="46"/>
        <v>0</v>
      </c>
      <c r="O89" s="50"/>
      <c r="P89" s="50"/>
      <c r="Q89" s="50"/>
      <c r="R89" s="50">
        <f t="shared" si="47"/>
        <v>0</v>
      </c>
      <c r="S89" s="50"/>
      <c r="T89" s="50">
        <f t="shared" si="48"/>
        <v>0</v>
      </c>
      <c r="U89" s="50"/>
      <c r="V89" s="50">
        <f t="shared" si="49"/>
        <v>0</v>
      </c>
      <c r="W89" s="50"/>
      <c r="X89" s="50">
        <f t="shared" si="50"/>
        <v>0</v>
      </c>
      <c r="Y89" s="50"/>
      <c r="Z89" s="50">
        <f t="shared" si="51"/>
        <v>0</v>
      </c>
      <c r="AA89" s="50"/>
      <c r="AB89" s="50">
        <f t="shared" si="52"/>
        <v>0</v>
      </c>
      <c r="AC89" s="50"/>
      <c r="AD89" s="50"/>
      <c r="AE89" s="50"/>
      <c r="AF89" s="50">
        <f t="shared" si="53"/>
        <v>0</v>
      </c>
      <c r="AG89" s="50"/>
      <c r="AH89" s="50">
        <f t="shared" si="54"/>
        <v>0</v>
      </c>
      <c r="AI89" s="50"/>
      <c r="AJ89" s="50">
        <f t="shared" si="55"/>
        <v>0</v>
      </c>
      <c r="AK89" s="50"/>
      <c r="AL89" s="50">
        <f t="shared" si="56"/>
        <v>0</v>
      </c>
      <c r="AM89" s="50"/>
      <c r="AN89" s="50">
        <f t="shared" si="57"/>
        <v>0</v>
      </c>
      <c r="AO89" s="50"/>
      <c r="AP89" s="50">
        <f t="shared" si="58"/>
        <v>0</v>
      </c>
      <c r="AQ89" s="50"/>
      <c r="AR89" s="50">
        <f t="shared" si="59"/>
        <v>0</v>
      </c>
      <c r="AS89" s="50"/>
      <c r="AT89" s="50">
        <f t="shared" si="60"/>
        <v>0</v>
      </c>
      <c r="AV89" s="27">
        <f t="shared" si="61"/>
        <v>0</v>
      </c>
    </row>
    <row r="90" spans="1:48" x14ac:dyDescent="0.2">
      <c r="A90" s="47" t="s">
        <v>259</v>
      </c>
      <c r="B90" s="48" t="s">
        <v>227</v>
      </c>
      <c r="C90" s="49">
        <v>8.515203465357871</v>
      </c>
      <c r="D90" s="49">
        <f t="shared" si="41"/>
        <v>8.52</v>
      </c>
      <c r="E90" s="50"/>
      <c r="F90" s="50">
        <f t="shared" si="42"/>
        <v>0</v>
      </c>
      <c r="G90" s="50"/>
      <c r="H90" s="50">
        <f t="shared" si="43"/>
        <v>0</v>
      </c>
      <c r="I90" s="50"/>
      <c r="J90" s="50">
        <f t="shared" si="44"/>
        <v>0</v>
      </c>
      <c r="K90" s="50"/>
      <c r="L90" s="50">
        <f t="shared" si="45"/>
        <v>0</v>
      </c>
      <c r="M90" s="50"/>
      <c r="N90" s="50">
        <f t="shared" si="46"/>
        <v>0</v>
      </c>
      <c r="O90" s="50"/>
      <c r="P90" s="50"/>
      <c r="Q90" s="50"/>
      <c r="R90" s="50">
        <f t="shared" si="47"/>
        <v>0</v>
      </c>
      <c r="S90" s="50"/>
      <c r="T90" s="50">
        <f t="shared" si="48"/>
        <v>0</v>
      </c>
      <c r="U90" s="50"/>
      <c r="V90" s="50">
        <f t="shared" si="49"/>
        <v>0</v>
      </c>
      <c r="W90" s="50"/>
      <c r="X90" s="50">
        <f t="shared" si="50"/>
        <v>0</v>
      </c>
      <c r="Y90" s="50"/>
      <c r="Z90" s="50">
        <f t="shared" si="51"/>
        <v>0</v>
      </c>
      <c r="AA90" s="50"/>
      <c r="AB90" s="50">
        <f t="shared" si="52"/>
        <v>0</v>
      </c>
      <c r="AC90" s="50"/>
      <c r="AD90" s="50"/>
      <c r="AE90" s="50"/>
      <c r="AF90" s="50">
        <f t="shared" si="53"/>
        <v>0</v>
      </c>
      <c r="AG90" s="50"/>
      <c r="AH90" s="50">
        <f t="shared" si="54"/>
        <v>0</v>
      </c>
      <c r="AI90" s="50"/>
      <c r="AJ90" s="50">
        <f t="shared" si="55"/>
        <v>0</v>
      </c>
      <c r="AK90" s="50"/>
      <c r="AL90" s="50">
        <f t="shared" si="56"/>
        <v>0</v>
      </c>
      <c r="AM90" s="50"/>
      <c r="AN90" s="50">
        <f t="shared" si="57"/>
        <v>0</v>
      </c>
      <c r="AO90" s="50"/>
      <c r="AP90" s="50">
        <f t="shared" si="58"/>
        <v>0</v>
      </c>
      <c r="AQ90" s="50"/>
      <c r="AR90" s="50">
        <f t="shared" si="59"/>
        <v>0</v>
      </c>
      <c r="AS90" s="50"/>
      <c r="AT90" s="50">
        <f t="shared" si="60"/>
        <v>0</v>
      </c>
      <c r="AV90" s="27">
        <f t="shared" si="61"/>
        <v>0</v>
      </c>
    </row>
    <row r="91" spans="1:48" x14ac:dyDescent="0.2">
      <c r="A91" s="534" t="s">
        <v>260</v>
      </c>
      <c r="B91" s="48" t="s">
        <v>227</v>
      </c>
      <c r="C91" s="49">
        <v>2.8</v>
      </c>
      <c r="D91" s="49">
        <f t="shared" si="41"/>
        <v>2.8</v>
      </c>
      <c r="E91" s="50"/>
      <c r="F91" s="50">
        <f t="shared" si="42"/>
        <v>0</v>
      </c>
      <c r="G91" s="50"/>
      <c r="H91" s="50">
        <f t="shared" si="43"/>
        <v>0</v>
      </c>
      <c r="I91" s="50"/>
      <c r="J91" s="50">
        <f t="shared" si="44"/>
        <v>0</v>
      </c>
      <c r="K91" s="50"/>
      <c r="L91" s="50">
        <f t="shared" si="45"/>
        <v>0</v>
      </c>
      <c r="M91" s="50"/>
      <c r="N91" s="50">
        <f t="shared" si="46"/>
        <v>0</v>
      </c>
      <c r="O91" s="50"/>
      <c r="P91" s="50"/>
      <c r="Q91" s="50"/>
      <c r="R91" s="50">
        <f t="shared" si="47"/>
        <v>0</v>
      </c>
      <c r="S91" s="50"/>
      <c r="T91" s="50">
        <f t="shared" si="48"/>
        <v>0</v>
      </c>
      <c r="U91" s="50"/>
      <c r="V91" s="50">
        <f t="shared" si="49"/>
        <v>0</v>
      </c>
      <c r="W91" s="50"/>
      <c r="X91" s="50">
        <f t="shared" si="50"/>
        <v>0</v>
      </c>
      <c r="Y91" s="50"/>
      <c r="Z91" s="50">
        <f t="shared" si="51"/>
        <v>0</v>
      </c>
      <c r="AA91" s="50"/>
      <c r="AB91" s="50">
        <f t="shared" si="52"/>
        <v>0</v>
      </c>
      <c r="AC91" s="50"/>
      <c r="AD91" s="50"/>
      <c r="AE91" s="50"/>
      <c r="AF91" s="50">
        <f t="shared" si="53"/>
        <v>0</v>
      </c>
      <c r="AG91" s="50"/>
      <c r="AH91" s="50">
        <f t="shared" si="54"/>
        <v>0</v>
      </c>
      <c r="AI91" s="50"/>
      <c r="AJ91" s="50">
        <f t="shared" si="55"/>
        <v>0</v>
      </c>
      <c r="AK91" s="50"/>
      <c r="AL91" s="50">
        <f t="shared" si="56"/>
        <v>0</v>
      </c>
      <c r="AM91" s="50"/>
      <c r="AN91" s="50">
        <f t="shared" si="57"/>
        <v>0</v>
      </c>
      <c r="AO91" s="50"/>
      <c r="AP91" s="50">
        <f t="shared" si="58"/>
        <v>0</v>
      </c>
      <c r="AQ91" s="50"/>
      <c r="AR91" s="50">
        <f t="shared" si="59"/>
        <v>0</v>
      </c>
      <c r="AS91" s="50"/>
      <c r="AT91" s="50">
        <f t="shared" si="60"/>
        <v>0</v>
      </c>
      <c r="AV91" s="27">
        <f t="shared" si="61"/>
        <v>0</v>
      </c>
    </row>
    <row r="92" spans="1:48" x14ac:dyDescent="0.2">
      <c r="A92" s="534" t="s">
        <v>261</v>
      </c>
      <c r="B92" s="48" t="s">
        <v>227</v>
      </c>
      <c r="C92" s="49">
        <v>4.01</v>
      </c>
      <c r="D92" s="49">
        <f t="shared" si="41"/>
        <v>4.01</v>
      </c>
      <c r="E92" s="50"/>
      <c r="F92" s="50">
        <f t="shared" si="42"/>
        <v>0</v>
      </c>
      <c r="G92" s="50"/>
      <c r="H92" s="50">
        <f t="shared" si="43"/>
        <v>0</v>
      </c>
      <c r="I92" s="50"/>
      <c r="J92" s="50">
        <f t="shared" si="44"/>
        <v>0</v>
      </c>
      <c r="K92" s="50"/>
      <c r="L92" s="50">
        <f t="shared" si="45"/>
        <v>0</v>
      </c>
      <c r="M92" s="50"/>
      <c r="N92" s="50">
        <f t="shared" si="46"/>
        <v>0</v>
      </c>
      <c r="O92" s="50"/>
      <c r="P92" s="50"/>
      <c r="Q92" s="50"/>
      <c r="R92" s="50">
        <f t="shared" si="47"/>
        <v>0</v>
      </c>
      <c r="S92" s="50"/>
      <c r="T92" s="50">
        <f t="shared" si="48"/>
        <v>0</v>
      </c>
      <c r="U92" s="50"/>
      <c r="V92" s="50">
        <f t="shared" si="49"/>
        <v>0</v>
      </c>
      <c r="W92" s="50"/>
      <c r="X92" s="50">
        <f t="shared" si="50"/>
        <v>0</v>
      </c>
      <c r="Y92" s="50"/>
      <c r="Z92" s="50">
        <f t="shared" si="51"/>
        <v>0</v>
      </c>
      <c r="AA92" s="50"/>
      <c r="AB92" s="50">
        <f t="shared" si="52"/>
        <v>0</v>
      </c>
      <c r="AC92" s="50"/>
      <c r="AD92" s="50"/>
      <c r="AE92" s="50"/>
      <c r="AF92" s="50">
        <f t="shared" si="53"/>
        <v>0</v>
      </c>
      <c r="AG92" s="50"/>
      <c r="AH92" s="50">
        <f t="shared" si="54"/>
        <v>0</v>
      </c>
      <c r="AI92" s="50"/>
      <c r="AJ92" s="50">
        <f t="shared" si="55"/>
        <v>0</v>
      </c>
      <c r="AK92" s="50"/>
      <c r="AL92" s="50">
        <f t="shared" si="56"/>
        <v>0</v>
      </c>
      <c r="AM92" s="50"/>
      <c r="AN92" s="50">
        <f t="shared" si="57"/>
        <v>0</v>
      </c>
      <c r="AO92" s="50"/>
      <c r="AP92" s="50">
        <f t="shared" si="58"/>
        <v>0</v>
      </c>
      <c r="AQ92" s="50"/>
      <c r="AR92" s="50">
        <f t="shared" si="59"/>
        <v>0</v>
      </c>
      <c r="AS92" s="50"/>
      <c r="AT92" s="50">
        <f t="shared" si="60"/>
        <v>0</v>
      </c>
      <c r="AV92" s="27">
        <f t="shared" si="61"/>
        <v>0</v>
      </c>
    </row>
    <row r="93" spans="1:48" x14ac:dyDescent="0.2">
      <c r="A93" s="534" t="s">
        <v>262</v>
      </c>
      <c r="B93" s="48" t="s">
        <v>227</v>
      </c>
      <c r="C93" s="49">
        <v>4.99</v>
      </c>
      <c r="D93" s="49">
        <f t="shared" si="41"/>
        <v>4.99</v>
      </c>
      <c r="E93" s="50"/>
      <c r="F93" s="50">
        <f t="shared" si="42"/>
        <v>0</v>
      </c>
      <c r="G93" s="50"/>
      <c r="H93" s="50">
        <f t="shared" si="43"/>
        <v>0</v>
      </c>
      <c r="I93" s="50"/>
      <c r="J93" s="50">
        <f t="shared" si="44"/>
        <v>0</v>
      </c>
      <c r="K93" s="50"/>
      <c r="L93" s="50">
        <f t="shared" si="45"/>
        <v>0</v>
      </c>
      <c r="M93" s="50"/>
      <c r="N93" s="50">
        <f t="shared" si="46"/>
        <v>0</v>
      </c>
      <c r="O93" s="50"/>
      <c r="P93" s="50"/>
      <c r="Q93" s="50"/>
      <c r="R93" s="50">
        <f t="shared" si="47"/>
        <v>0</v>
      </c>
      <c r="S93" s="50"/>
      <c r="T93" s="50">
        <f t="shared" si="48"/>
        <v>0</v>
      </c>
      <c r="U93" s="50"/>
      <c r="V93" s="50">
        <f t="shared" si="49"/>
        <v>0</v>
      </c>
      <c r="W93" s="50"/>
      <c r="X93" s="50">
        <f t="shared" si="50"/>
        <v>0</v>
      </c>
      <c r="Y93" s="50"/>
      <c r="Z93" s="50">
        <f t="shared" si="51"/>
        <v>0</v>
      </c>
      <c r="AA93" s="50"/>
      <c r="AB93" s="50">
        <f t="shared" si="52"/>
        <v>0</v>
      </c>
      <c r="AC93" s="50"/>
      <c r="AD93" s="50"/>
      <c r="AE93" s="50"/>
      <c r="AF93" s="50">
        <f t="shared" si="53"/>
        <v>0</v>
      </c>
      <c r="AG93" s="50"/>
      <c r="AH93" s="50">
        <f t="shared" si="54"/>
        <v>0</v>
      </c>
      <c r="AI93" s="50"/>
      <c r="AJ93" s="50">
        <f t="shared" si="55"/>
        <v>0</v>
      </c>
      <c r="AK93" s="50"/>
      <c r="AL93" s="50">
        <f t="shared" si="56"/>
        <v>0</v>
      </c>
      <c r="AM93" s="50"/>
      <c r="AN93" s="50">
        <f t="shared" si="57"/>
        <v>0</v>
      </c>
      <c r="AO93" s="50"/>
      <c r="AP93" s="50">
        <f t="shared" si="58"/>
        <v>0</v>
      </c>
      <c r="AQ93" s="50"/>
      <c r="AR93" s="50">
        <f t="shared" si="59"/>
        <v>0</v>
      </c>
      <c r="AS93" s="50"/>
      <c r="AT93" s="50">
        <f t="shared" si="60"/>
        <v>0</v>
      </c>
      <c r="AV93" s="27">
        <f t="shared" si="61"/>
        <v>0</v>
      </c>
    </row>
    <row r="94" spans="1:48" x14ac:dyDescent="0.2">
      <c r="A94" s="534" t="s">
        <v>263</v>
      </c>
      <c r="B94" s="48" t="s">
        <v>227</v>
      </c>
      <c r="C94" s="49">
        <v>7.88</v>
      </c>
      <c r="D94" s="49">
        <f t="shared" si="41"/>
        <v>7.88</v>
      </c>
      <c r="E94" s="50"/>
      <c r="F94" s="50">
        <f t="shared" si="42"/>
        <v>0</v>
      </c>
      <c r="G94" s="50"/>
      <c r="H94" s="50">
        <f t="shared" si="43"/>
        <v>0</v>
      </c>
      <c r="I94" s="50"/>
      <c r="J94" s="50">
        <f t="shared" si="44"/>
        <v>0</v>
      </c>
      <c r="K94" s="50"/>
      <c r="L94" s="50">
        <f t="shared" si="45"/>
        <v>0</v>
      </c>
      <c r="M94" s="50"/>
      <c r="N94" s="50">
        <f t="shared" si="46"/>
        <v>0</v>
      </c>
      <c r="O94" s="50"/>
      <c r="P94" s="50"/>
      <c r="Q94" s="50"/>
      <c r="R94" s="50">
        <f t="shared" si="47"/>
        <v>0</v>
      </c>
      <c r="S94" s="50"/>
      <c r="T94" s="50">
        <f t="shared" si="48"/>
        <v>0</v>
      </c>
      <c r="U94" s="50"/>
      <c r="V94" s="50">
        <f t="shared" si="49"/>
        <v>0</v>
      </c>
      <c r="W94" s="50"/>
      <c r="X94" s="50">
        <f t="shared" si="50"/>
        <v>0</v>
      </c>
      <c r="Y94" s="50"/>
      <c r="Z94" s="50">
        <f t="shared" si="51"/>
        <v>0</v>
      </c>
      <c r="AA94" s="50"/>
      <c r="AB94" s="50">
        <f t="shared" si="52"/>
        <v>0</v>
      </c>
      <c r="AC94" s="50"/>
      <c r="AD94" s="50"/>
      <c r="AE94" s="50"/>
      <c r="AF94" s="50">
        <f t="shared" si="53"/>
        <v>0</v>
      </c>
      <c r="AG94" s="50"/>
      <c r="AH94" s="50">
        <f t="shared" si="54"/>
        <v>0</v>
      </c>
      <c r="AI94" s="50"/>
      <c r="AJ94" s="50">
        <f t="shared" si="55"/>
        <v>0</v>
      </c>
      <c r="AK94" s="50"/>
      <c r="AL94" s="50">
        <f t="shared" si="56"/>
        <v>0</v>
      </c>
      <c r="AM94" s="50"/>
      <c r="AN94" s="50">
        <f t="shared" si="57"/>
        <v>0</v>
      </c>
      <c r="AO94" s="50"/>
      <c r="AP94" s="50">
        <f t="shared" si="58"/>
        <v>0</v>
      </c>
      <c r="AQ94" s="50"/>
      <c r="AR94" s="50">
        <f t="shared" si="59"/>
        <v>0</v>
      </c>
      <c r="AS94" s="50"/>
      <c r="AT94" s="50">
        <f t="shared" si="60"/>
        <v>0</v>
      </c>
      <c r="AV94" s="27">
        <f t="shared" si="61"/>
        <v>0</v>
      </c>
    </row>
    <row r="95" spans="1:48" x14ac:dyDescent="0.2">
      <c r="A95" s="534" t="s">
        <v>264</v>
      </c>
      <c r="B95" s="48" t="s">
        <v>227</v>
      </c>
      <c r="C95" s="49">
        <v>8.35</v>
      </c>
      <c r="D95" s="49">
        <f t="shared" si="41"/>
        <v>8.35</v>
      </c>
      <c r="E95" s="50"/>
      <c r="F95" s="50">
        <f t="shared" si="42"/>
        <v>0</v>
      </c>
      <c r="G95" s="50"/>
      <c r="H95" s="50">
        <f t="shared" si="43"/>
        <v>0</v>
      </c>
      <c r="I95" s="50"/>
      <c r="J95" s="50">
        <f t="shared" si="44"/>
        <v>0</v>
      </c>
      <c r="K95" s="50"/>
      <c r="L95" s="50">
        <f t="shared" si="45"/>
        <v>0</v>
      </c>
      <c r="M95" s="50"/>
      <c r="N95" s="50">
        <f t="shared" si="46"/>
        <v>0</v>
      </c>
      <c r="O95" s="50"/>
      <c r="P95" s="50"/>
      <c r="Q95" s="50"/>
      <c r="R95" s="50">
        <f t="shared" si="47"/>
        <v>0</v>
      </c>
      <c r="S95" s="50"/>
      <c r="T95" s="50">
        <f t="shared" si="48"/>
        <v>0</v>
      </c>
      <c r="U95" s="50"/>
      <c r="V95" s="50">
        <f t="shared" si="49"/>
        <v>0</v>
      </c>
      <c r="W95" s="50"/>
      <c r="X95" s="50">
        <f t="shared" si="50"/>
        <v>0</v>
      </c>
      <c r="Y95" s="50"/>
      <c r="Z95" s="50">
        <f t="shared" si="51"/>
        <v>0</v>
      </c>
      <c r="AA95" s="50"/>
      <c r="AB95" s="50">
        <f t="shared" si="52"/>
        <v>0</v>
      </c>
      <c r="AC95" s="50"/>
      <c r="AD95" s="50"/>
      <c r="AE95" s="50"/>
      <c r="AF95" s="50">
        <f t="shared" si="53"/>
        <v>0</v>
      </c>
      <c r="AG95" s="50"/>
      <c r="AH95" s="50">
        <f t="shared" si="54"/>
        <v>0</v>
      </c>
      <c r="AI95" s="50"/>
      <c r="AJ95" s="50">
        <f t="shared" si="55"/>
        <v>0</v>
      </c>
      <c r="AK95" s="50"/>
      <c r="AL95" s="50">
        <f t="shared" si="56"/>
        <v>0</v>
      </c>
      <c r="AM95" s="50"/>
      <c r="AN95" s="50">
        <f t="shared" si="57"/>
        <v>0</v>
      </c>
      <c r="AO95" s="50"/>
      <c r="AP95" s="50">
        <f t="shared" si="58"/>
        <v>0</v>
      </c>
      <c r="AQ95" s="50"/>
      <c r="AR95" s="50">
        <f t="shared" si="59"/>
        <v>0</v>
      </c>
      <c r="AS95" s="50"/>
      <c r="AT95" s="50">
        <f t="shared" si="60"/>
        <v>0</v>
      </c>
      <c r="AV95" s="27">
        <f t="shared" si="61"/>
        <v>0</v>
      </c>
    </row>
    <row r="96" spans="1:48" x14ac:dyDescent="0.2">
      <c r="A96" s="534" t="s">
        <v>265</v>
      </c>
      <c r="B96" s="48" t="s">
        <v>227</v>
      </c>
      <c r="C96" s="49">
        <v>2.63</v>
      </c>
      <c r="D96" s="49">
        <f t="shared" si="41"/>
        <v>2.63</v>
      </c>
      <c r="E96" s="50"/>
      <c r="F96" s="50">
        <f t="shared" si="42"/>
        <v>0</v>
      </c>
      <c r="G96" s="50"/>
      <c r="H96" s="50">
        <f t="shared" si="43"/>
        <v>0</v>
      </c>
      <c r="I96" s="50"/>
      <c r="J96" s="50">
        <f t="shared" si="44"/>
        <v>0</v>
      </c>
      <c r="K96" s="50"/>
      <c r="L96" s="50">
        <f t="shared" si="45"/>
        <v>0</v>
      </c>
      <c r="M96" s="50"/>
      <c r="N96" s="50">
        <f t="shared" si="46"/>
        <v>0</v>
      </c>
      <c r="O96" s="50"/>
      <c r="P96" s="50"/>
      <c r="Q96" s="50"/>
      <c r="R96" s="50">
        <f t="shared" si="47"/>
        <v>0</v>
      </c>
      <c r="S96" s="50"/>
      <c r="T96" s="50">
        <f t="shared" si="48"/>
        <v>0</v>
      </c>
      <c r="U96" s="50"/>
      <c r="V96" s="50">
        <f t="shared" si="49"/>
        <v>0</v>
      </c>
      <c r="W96" s="50"/>
      <c r="X96" s="50">
        <f t="shared" si="50"/>
        <v>0</v>
      </c>
      <c r="Y96" s="50"/>
      <c r="Z96" s="50">
        <f t="shared" si="51"/>
        <v>0</v>
      </c>
      <c r="AA96" s="50"/>
      <c r="AB96" s="50">
        <f t="shared" si="52"/>
        <v>0</v>
      </c>
      <c r="AC96" s="50"/>
      <c r="AD96" s="50"/>
      <c r="AE96" s="50"/>
      <c r="AF96" s="50">
        <f t="shared" si="53"/>
        <v>0</v>
      </c>
      <c r="AG96" s="50"/>
      <c r="AH96" s="50">
        <f t="shared" si="54"/>
        <v>0</v>
      </c>
      <c r="AI96" s="50"/>
      <c r="AJ96" s="50">
        <f t="shared" si="55"/>
        <v>0</v>
      </c>
      <c r="AK96" s="50"/>
      <c r="AL96" s="50">
        <f t="shared" si="56"/>
        <v>0</v>
      </c>
      <c r="AM96" s="50"/>
      <c r="AN96" s="50">
        <f t="shared" si="57"/>
        <v>0</v>
      </c>
      <c r="AO96" s="50"/>
      <c r="AP96" s="50">
        <f t="shared" si="58"/>
        <v>0</v>
      </c>
      <c r="AQ96" s="50"/>
      <c r="AR96" s="50">
        <f t="shared" si="59"/>
        <v>0</v>
      </c>
      <c r="AS96" s="50"/>
      <c r="AT96" s="50">
        <f t="shared" si="60"/>
        <v>0</v>
      </c>
      <c r="AV96" s="27">
        <f t="shared" si="61"/>
        <v>0</v>
      </c>
    </row>
    <row r="97" spans="1:48" x14ac:dyDescent="0.2">
      <c r="A97" s="47" t="s">
        <v>1083</v>
      </c>
      <c r="B97" s="48" t="s">
        <v>227</v>
      </c>
      <c r="C97" s="149">
        <v>2.9679124231461449</v>
      </c>
      <c r="D97" s="49">
        <f t="shared" si="41"/>
        <v>2.97</v>
      </c>
      <c r="E97" s="50"/>
      <c r="F97" s="50">
        <f t="shared" si="42"/>
        <v>0</v>
      </c>
      <c r="G97" s="50"/>
      <c r="H97" s="50">
        <f t="shared" si="43"/>
        <v>0</v>
      </c>
      <c r="I97" s="50"/>
      <c r="J97" s="50">
        <f t="shared" si="44"/>
        <v>0</v>
      </c>
      <c r="K97" s="50"/>
      <c r="L97" s="50">
        <f t="shared" si="45"/>
        <v>0</v>
      </c>
      <c r="M97" s="50"/>
      <c r="N97" s="50">
        <f t="shared" si="46"/>
        <v>0</v>
      </c>
      <c r="O97" s="50"/>
      <c r="P97" s="50"/>
      <c r="Q97" s="50"/>
      <c r="R97" s="50">
        <f t="shared" si="47"/>
        <v>0</v>
      </c>
      <c r="S97" s="50"/>
      <c r="T97" s="50">
        <f t="shared" si="48"/>
        <v>0</v>
      </c>
      <c r="U97" s="50"/>
      <c r="V97" s="50">
        <f t="shared" si="49"/>
        <v>0</v>
      </c>
      <c r="W97" s="50"/>
      <c r="X97" s="50">
        <f t="shared" ref="X97:X128" si="62">+D97*W97</f>
        <v>0</v>
      </c>
      <c r="Y97" s="50"/>
      <c r="Z97" s="50">
        <f t="shared" ref="Z97:Z128" si="63">+D97*Y97</f>
        <v>0</v>
      </c>
      <c r="AA97" s="50"/>
      <c r="AB97" s="50">
        <f t="shared" ref="AB97:AB128" si="64">+D97*AA97</f>
        <v>0</v>
      </c>
      <c r="AC97" s="50"/>
      <c r="AD97" s="50"/>
      <c r="AE97" s="50"/>
      <c r="AF97" s="50">
        <f t="shared" ref="AF97:AF128" si="65">+D97*AE97</f>
        <v>0</v>
      </c>
      <c r="AG97" s="50">
        <v>1</v>
      </c>
      <c r="AH97" s="50">
        <f t="shared" ref="AH97:AH128" si="66">+D97*AG97</f>
        <v>2.97</v>
      </c>
      <c r="AI97" s="50"/>
      <c r="AJ97" s="50">
        <f t="shared" ref="AJ97:AJ128" si="67">+D97*AI97</f>
        <v>0</v>
      </c>
      <c r="AK97" s="50">
        <v>1</v>
      </c>
      <c r="AL97" s="50">
        <f t="shared" ref="AL97:AL128" si="68">D97*AK97</f>
        <v>2.97</v>
      </c>
      <c r="AM97" s="50"/>
      <c r="AN97" s="50">
        <f t="shared" ref="AN97:AN128" si="69">D97*AM97</f>
        <v>0</v>
      </c>
      <c r="AO97" s="50"/>
      <c r="AP97" s="50">
        <f t="shared" ref="AP97:AP128" si="70">+D97*AO97</f>
        <v>0</v>
      </c>
      <c r="AQ97" s="50"/>
      <c r="AR97" s="50">
        <f t="shared" ref="AR97:AR128" si="71">+AQ97*D97</f>
        <v>0</v>
      </c>
      <c r="AS97" s="50"/>
      <c r="AT97" s="50">
        <f t="shared" ref="AT97:AT128" si="72">+D97*AS97</f>
        <v>0</v>
      </c>
      <c r="AV97" s="27">
        <f t="shared" ref="AV97:AV128" si="73">D97*AU97</f>
        <v>0</v>
      </c>
    </row>
    <row r="98" spans="1:48" x14ac:dyDescent="0.2">
      <c r="A98" s="47" t="s">
        <v>266</v>
      </c>
      <c r="B98" s="48" t="s">
        <v>227</v>
      </c>
      <c r="C98" s="149">
        <v>5.4564799361969776</v>
      </c>
      <c r="D98" s="49">
        <f t="shared" si="41"/>
        <v>5.46</v>
      </c>
      <c r="E98" s="50"/>
      <c r="F98" s="50">
        <f t="shared" si="42"/>
        <v>0</v>
      </c>
      <c r="G98" s="50"/>
      <c r="H98" s="50">
        <f t="shared" si="43"/>
        <v>0</v>
      </c>
      <c r="I98" s="50"/>
      <c r="J98" s="50">
        <f t="shared" si="44"/>
        <v>0</v>
      </c>
      <c r="K98" s="50"/>
      <c r="L98" s="50">
        <f t="shared" si="45"/>
        <v>0</v>
      </c>
      <c r="M98" s="50"/>
      <c r="N98" s="50">
        <f t="shared" si="46"/>
        <v>0</v>
      </c>
      <c r="O98" s="50"/>
      <c r="P98" s="50"/>
      <c r="Q98" s="50"/>
      <c r="R98" s="50">
        <f t="shared" si="47"/>
        <v>0</v>
      </c>
      <c r="S98" s="50"/>
      <c r="T98" s="50">
        <f t="shared" si="48"/>
        <v>0</v>
      </c>
      <c r="U98" s="50"/>
      <c r="V98" s="50">
        <f t="shared" si="49"/>
        <v>0</v>
      </c>
      <c r="W98" s="50"/>
      <c r="X98" s="50">
        <f t="shared" si="62"/>
        <v>0</v>
      </c>
      <c r="Y98" s="50"/>
      <c r="Z98" s="50">
        <f t="shared" si="63"/>
        <v>0</v>
      </c>
      <c r="AA98" s="50"/>
      <c r="AB98" s="50">
        <f t="shared" si="64"/>
        <v>0</v>
      </c>
      <c r="AC98" s="50"/>
      <c r="AD98" s="50"/>
      <c r="AE98" s="50"/>
      <c r="AF98" s="50">
        <f t="shared" si="65"/>
        <v>0</v>
      </c>
      <c r="AG98" s="50"/>
      <c r="AH98" s="50">
        <f t="shared" si="66"/>
        <v>0</v>
      </c>
      <c r="AI98" s="50"/>
      <c r="AJ98" s="50">
        <f t="shared" si="67"/>
        <v>0</v>
      </c>
      <c r="AK98" s="50"/>
      <c r="AL98" s="50">
        <f t="shared" si="68"/>
        <v>0</v>
      </c>
      <c r="AM98" s="50"/>
      <c r="AN98" s="50">
        <f t="shared" si="69"/>
        <v>0</v>
      </c>
      <c r="AO98" s="50"/>
      <c r="AP98" s="50">
        <f t="shared" si="70"/>
        <v>0</v>
      </c>
      <c r="AQ98" s="50"/>
      <c r="AR98" s="50">
        <f t="shared" si="71"/>
        <v>0</v>
      </c>
      <c r="AS98" s="50"/>
      <c r="AT98" s="50">
        <f t="shared" si="72"/>
        <v>0</v>
      </c>
      <c r="AV98" s="27">
        <f t="shared" si="73"/>
        <v>0</v>
      </c>
    </row>
    <row r="99" spans="1:48" x14ac:dyDescent="0.2">
      <c r="A99" s="47" t="s">
        <v>267</v>
      </c>
      <c r="B99" s="48" t="s">
        <v>227</v>
      </c>
      <c r="C99" s="149">
        <v>11.493016601793711</v>
      </c>
      <c r="D99" s="49">
        <f t="shared" si="41"/>
        <v>11.49</v>
      </c>
      <c r="E99" s="50"/>
      <c r="F99" s="50">
        <f t="shared" si="42"/>
        <v>0</v>
      </c>
      <c r="G99" s="50"/>
      <c r="H99" s="50">
        <f t="shared" si="43"/>
        <v>0</v>
      </c>
      <c r="I99" s="50"/>
      <c r="J99" s="50">
        <f t="shared" si="44"/>
        <v>0</v>
      </c>
      <c r="K99" s="50"/>
      <c r="L99" s="50">
        <f t="shared" si="45"/>
        <v>0</v>
      </c>
      <c r="M99" s="50"/>
      <c r="N99" s="50">
        <f t="shared" si="46"/>
        <v>0</v>
      </c>
      <c r="O99" s="50"/>
      <c r="P99" s="50"/>
      <c r="Q99" s="50"/>
      <c r="R99" s="50">
        <f t="shared" si="47"/>
        <v>0</v>
      </c>
      <c r="S99" s="50"/>
      <c r="T99" s="50">
        <f t="shared" si="48"/>
        <v>0</v>
      </c>
      <c r="U99" s="50"/>
      <c r="V99" s="50">
        <f t="shared" si="49"/>
        <v>0</v>
      </c>
      <c r="W99" s="50"/>
      <c r="X99" s="50">
        <f t="shared" si="62"/>
        <v>0</v>
      </c>
      <c r="Y99" s="50"/>
      <c r="Z99" s="50">
        <f t="shared" si="63"/>
        <v>0</v>
      </c>
      <c r="AA99" s="50"/>
      <c r="AB99" s="50">
        <f t="shared" si="64"/>
        <v>0</v>
      </c>
      <c r="AC99" s="50"/>
      <c r="AD99" s="50"/>
      <c r="AE99" s="50"/>
      <c r="AF99" s="50">
        <f t="shared" si="65"/>
        <v>0</v>
      </c>
      <c r="AG99" s="50"/>
      <c r="AH99" s="50">
        <f t="shared" si="66"/>
        <v>0</v>
      </c>
      <c r="AI99" s="50"/>
      <c r="AJ99" s="50">
        <f t="shared" si="67"/>
        <v>0</v>
      </c>
      <c r="AK99" s="50"/>
      <c r="AL99" s="50">
        <f t="shared" si="68"/>
        <v>0</v>
      </c>
      <c r="AM99" s="50"/>
      <c r="AN99" s="50">
        <f t="shared" si="69"/>
        <v>0</v>
      </c>
      <c r="AO99" s="50"/>
      <c r="AP99" s="50">
        <f t="shared" si="70"/>
        <v>0</v>
      </c>
      <c r="AQ99" s="50"/>
      <c r="AR99" s="50">
        <f t="shared" si="71"/>
        <v>0</v>
      </c>
      <c r="AS99" s="50"/>
      <c r="AT99" s="50">
        <f t="shared" si="72"/>
        <v>0</v>
      </c>
      <c r="AV99" s="27">
        <f t="shared" si="73"/>
        <v>0</v>
      </c>
    </row>
    <row r="100" spans="1:48" x14ac:dyDescent="0.2">
      <c r="A100" s="47" t="s">
        <v>268</v>
      </c>
      <c r="B100" s="48" t="s">
        <v>227</v>
      </c>
      <c r="C100" s="149">
        <v>15.90275803253742</v>
      </c>
      <c r="D100" s="49">
        <f t="shared" si="41"/>
        <v>15.9</v>
      </c>
      <c r="E100" s="50"/>
      <c r="F100" s="50">
        <f t="shared" si="42"/>
        <v>0</v>
      </c>
      <c r="G100" s="50"/>
      <c r="H100" s="50">
        <f t="shared" si="43"/>
        <v>0</v>
      </c>
      <c r="I100" s="50"/>
      <c r="J100" s="50">
        <f t="shared" si="44"/>
        <v>0</v>
      </c>
      <c r="K100" s="50"/>
      <c r="L100" s="50">
        <f t="shared" si="45"/>
        <v>0</v>
      </c>
      <c r="M100" s="50"/>
      <c r="N100" s="50">
        <f t="shared" si="46"/>
        <v>0</v>
      </c>
      <c r="O100" s="50"/>
      <c r="P100" s="50"/>
      <c r="Q100" s="50"/>
      <c r="R100" s="50">
        <f t="shared" si="47"/>
        <v>0</v>
      </c>
      <c r="S100" s="50"/>
      <c r="T100" s="50">
        <f t="shared" si="48"/>
        <v>0</v>
      </c>
      <c r="U100" s="50"/>
      <c r="V100" s="50">
        <f t="shared" si="49"/>
        <v>0</v>
      </c>
      <c r="W100" s="50"/>
      <c r="X100" s="50">
        <f t="shared" si="62"/>
        <v>0</v>
      </c>
      <c r="Y100" s="50"/>
      <c r="Z100" s="50">
        <f t="shared" si="63"/>
        <v>0</v>
      </c>
      <c r="AA100" s="50"/>
      <c r="AB100" s="50">
        <f t="shared" si="64"/>
        <v>0</v>
      </c>
      <c r="AC100" s="50"/>
      <c r="AD100" s="50"/>
      <c r="AE100" s="50"/>
      <c r="AF100" s="50">
        <f t="shared" si="65"/>
        <v>0</v>
      </c>
      <c r="AG100" s="50"/>
      <c r="AH100" s="50">
        <f t="shared" si="66"/>
        <v>0</v>
      </c>
      <c r="AI100" s="50"/>
      <c r="AJ100" s="50">
        <f t="shared" si="67"/>
        <v>0</v>
      </c>
      <c r="AK100" s="50"/>
      <c r="AL100" s="50">
        <f t="shared" si="68"/>
        <v>0</v>
      </c>
      <c r="AM100" s="50"/>
      <c r="AN100" s="50">
        <f t="shared" si="69"/>
        <v>0</v>
      </c>
      <c r="AO100" s="50"/>
      <c r="AP100" s="50">
        <f t="shared" si="70"/>
        <v>0</v>
      </c>
      <c r="AQ100" s="50"/>
      <c r="AR100" s="50">
        <f t="shared" si="71"/>
        <v>0</v>
      </c>
      <c r="AS100" s="50"/>
      <c r="AT100" s="50">
        <f t="shared" si="72"/>
        <v>0</v>
      </c>
      <c r="AV100" s="27">
        <f t="shared" si="73"/>
        <v>0</v>
      </c>
    </row>
    <row r="101" spans="1:48" x14ac:dyDescent="0.2">
      <c r="A101" s="534" t="s">
        <v>269</v>
      </c>
      <c r="B101" s="48" t="s">
        <v>227</v>
      </c>
      <c r="C101" s="49">
        <v>2.84</v>
      </c>
      <c r="D101" s="49">
        <f t="shared" si="41"/>
        <v>2.84</v>
      </c>
      <c r="E101" s="50"/>
      <c r="F101" s="50">
        <f t="shared" si="42"/>
        <v>0</v>
      </c>
      <c r="G101" s="50"/>
      <c r="H101" s="50">
        <f t="shared" si="43"/>
        <v>0</v>
      </c>
      <c r="I101" s="50"/>
      <c r="J101" s="50">
        <f t="shared" si="44"/>
        <v>0</v>
      </c>
      <c r="K101" s="50"/>
      <c r="L101" s="50">
        <f t="shared" si="45"/>
        <v>0</v>
      </c>
      <c r="M101" s="50"/>
      <c r="N101" s="50">
        <f t="shared" si="46"/>
        <v>0</v>
      </c>
      <c r="O101" s="50"/>
      <c r="P101" s="50"/>
      <c r="Q101" s="50"/>
      <c r="R101" s="50">
        <f t="shared" si="47"/>
        <v>0</v>
      </c>
      <c r="S101" s="50"/>
      <c r="T101" s="50">
        <f t="shared" si="48"/>
        <v>0</v>
      </c>
      <c r="U101" s="50"/>
      <c r="V101" s="50">
        <f t="shared" si="49"/>
        <v>0</v>
      </c>
      <c r="W101" s="50"/>
      <c r="X101" s="50">
        <f t="shared" si="62"/>
        <v>0</v>
      </c>
      <c r="Y101" s="50"/>
      <c r="Z101" s="50">
        <f t="shared" si="63"/>
        <v>0</v>
      </c>
      <c r="AA101" s="50"/>
      <c r="AB101" s="50">
        <f t="shared" si="64"/>
        <v>0</v>
      </c>
      <c r="AC101" s="50"/>
      <c r="AD101" s="50"/>
      <c r="AE101" s="50"/>
      <c r="AF101" s="50">
        <f t="shared" si="65"/>
        <v>0</v>
      </c>
      <c r="AG101" s="50"/>
      <c r="AH101" s="50">
        <f t="shared" si="66"/>
        <v>0</v>
      </c>
      <c r="AI101" s="50"/>
      <c r="AJ101" s="50">
        <f t="shared" si="67"/>
        <v>0</v>
      </c>
      <c r="AK101" s="50"/>
      <c r="AL101" s="50">
        <f t="shared" si="68"/>
        <v>0</v>
      </c>
      <c r="AM101" s="50"/>
      <c r="AN101" s="50">
        <f t="shared" si="69"/>
        <v>0</v>
      </c>
      <c r="AO101" s="50"/>
      <c r="AP101" s="50">
        <f t="shared" si="70"/>
        <v>0</v>
      </c>
      <c r="AQ101" s="50"/>
      <c r="AR101" s="50">
        <f t="shared" si="71"/>
        <v>0</v>
      </c>
      <c r="AS101" s="50"/>
      <c r="AT101" s="50">
        <f t="shared" si="72"/>
        <v>0</v>
      </c>
      <c r="AV101" s="27">
        <f t="shared" si="73"/>
        <v>0</v>
      </c>
    </row>
    <row r="102" spans="1:48" x14ac:dyDescent="0.2">
      <c r="A102" s="534" t="s">
        <v>270</v>
      </c>
      <c r="B102" s="48" t="s">
        <v>227</v>
      </c>
      <c r="C102" s="49">
        <v>19.43</v>
      </c>
      <c r="D102" s="49">
        <f t="shared" si="41"/>
        <v>19.43</v>
      </c>
      <c r="E102" s="50"/>
      <c r="F102" s="50">
        <f t="shared" si="42"/>
        <v>0</v>
      </c>
      <c r="G102" s="50"/>
      <c r="H102" s="50">
        <f t="shared" si="43"/>
        <v>0</v>
      </c>
      <c r="I102" s="50"/>
      <c r="J102" s="50">
        <f t="shared" si="44"/>
        <v>0</v>
      </c>
      <c r="K102" s="50"/>
      <c r="L102" s="50">
        <f t="shared" si="45"/>
        <v>0</v>
      </c>
      <c r="M102" s="50"/>
      <c r="N102" s="50">
        <f t="shared" si="46"/>
        <v>0</v>
      </c>
      <c r="O102" s="50"/>
      <c r="P102" s="50"/>
      <c r="Q102" s="50"/>
      <c r="R102" s="50">
        <f t="shared" si="47"/>
        <v>0</v>
      </c>
      <c r="S102" s="50"/>
      <c r="T102" s="50">
        <f t="shared" si="48"/>
        <v>0</v>
      </c>
      <c r="U102" s="50"/>
      <c r="V102" s="50">
        <f t="shared" si="49"/>
        <v>0</v>
      </c>
      <c r="W102" s="50"/>
      <c r="X102" s="50">
        <f t="shared" si="62"/>
        <v>0</v>
      </c>
      <c r="Y102" s="50"/>
      <c r="Z102" s="50">
        <f t="shared" si="63"/>
        <v>0</v>
      </c>
      <c r="AA102" s="50"/>
      <c r="AB102" s="50">
        <f t="shared" si="64"/>
        <v>0</v>
      </c>
      <c r="AC102" s="50"/>
      <c r="AD102" s="50"/>
      <c r="AE102" s="50"/>
      <c r="AF102" s="50">
        <f t="shared" si="65"/>
        <v>0</v>
      </c>
      <c r="AG102" s="50"/>
      <c r="AH102" s="50">
        <f t="shared" si="66"/>
        <v>0</v>
      </c>
      <c r="AI102" s="50"/>
      <c r="AJ102" s="50">
        <f t="shared" si="67"/>
        <v>0</v>
      </c>
      <c r="AK102" s="50"/>
      <c r="AL102" s="50">
        <f t="shared" si="68"/>
        <v>0</v>
      </c>
      <c r="AM102" s="50"/>
      <c r="AN102" s="50">
        <f t="shared" si="69"/>
        <v>0</v>
      </c>
      <c r="AO102" s="50"/>
      <c r="AP102" s="50">
        <f t="shared" si="70"/>
        <v>0</v>
      </c>
      <c r="AQ102" s="50"/>
      <c r="AR102" s="50">
        <f t="shared" si="71"/>
        <v>0</v>
      </c>
      <c r="AS102" s="50"/>
      <c r="AT102" s="50">
        <f t="shared" si="72"/>
        <v>0</v>
      </c>
      <c r="AU102" s="260"/>
      <c r="AV102" s="260">
        <f t="shared" si="73"/>
        <v>0</v>
      </c>
    </row>
    <row r="103" spans="1:48" x14ac:dyDescent="0.2">
      <c r="A103" s="534" t="s">
        <v>271</v>
      </c>
      <c r="B103" s="48" t="s">
        <v>227</v>
      </c>
      <c r="C103" s="49">
        <v>12.97</v>
      </c>
      <c r="D103" s="49">
        <f t="shared" si="41"/>
        <v>12.97</v>
      </c>
      <c r="E103" s="50"/>
      <c r="F103" s="50">
        <f t="shared" si="42"/>
        <v>0</v>
      </c>
      <c r="G103" s="50"/>
      <c r="H103" s="50">
        <f t="shared" si="43"/>
        <v>0</v>
      </c>
      <c r="I103" s="50"/>
      <c r="J103" s="50">
        <f t="shared" si="44"/>
        <v>0</v>
      </c>
      <c r="K103" s="50"/>
      <c r="L103" s="50">
        <f t="shared" si="45"/>
        <v>0</v>
      </c>
      <c r="M103" s="50"/>
      <c r="N103" s="50">
        <f t="shared" si="46"/>
        <v>0</v>
      </c>
      <c r="O103" s="50"/>
      <c r="P103" s="50"/>
      <c r="Q103" s="50"/>
      <c r="R103" s="50">
        <f t="shared" si="47"/>
        <v>0</v>
      </c>
      <c r="S103" s="50"/>
      <c r="T103" s="50">
        <f t="shared" si="48"/>
        <v>0</v>
      </c>
      <c r="U103" s="50"/>
      <c r="V103" s="50">
        <f t="shared" si="49"/>
        <v>0</v>
      </c>
      <c r="W103" s="50"/>
      <c r="X103" s="50">
        <f t="shared" si="62"/>
        <v>0</v>
      </c>
      <c r="Y103" s="50"/>
      <c r="Z103" s="50">
        <f t="shared" si="63"/>
        <v>0</v>
      </c>
      <c r="AA103" s="50"/>
      <c r="AB103" s="50">
        <f t="shared" si="64"/>
        <v>0</v>
      </c>
      <c r="AC103" s="50"/>
      <c r="AD103" s="50"/>
      <c r="AE103" s="50"/>
      <c r="AF103" s="50">
        <f t="shared" si="65"/>
        <v>0</v>
      </c>
      <c r="AG103" s="50"/>
      <c r="AH103" s="50">
        <f t="shared" si="66"/>
        <v>0</v>
      </c>
      <c r="AI103" s="50"/>
      <c r="AJ103" s="50">
        <f t="shared" si="67"/>
        <v>0</v>
      </c>
      <c r="AK103" s="50"/>
      <c r="AL103" s="50">
        <f t="shared" si="68"/>
        <v>0</v>
      </c>
      <c r="AM103" s="50"/>
      <c r="AN103" s="50">
        <f t="shared" si="69"/>
        <v>0</v>
      </c>
      <c r="AO103" s="50"/>
      <c r="AP103" s="50">
        <f t="shared" si="70"/>
        <v>0</v>
      </c>
      <c r="AQ103" s="50"/>
      <c r="AR103" s="50">
        <f t="shared" si="71"/>
        <v>0</v>
      </c>
      <c r="AS103" s="50"/>
      <c r="AT103" s="50">
        <f t="shared" si="72"/>
        <v>0</v>
      </c>
      <c r="AU103" s="260"/>
      <c r="AV103" s="260">
        <f t="shared" si="73"/>
        <v>0</v>
      </c>
    </row>
    <row r="104" spans="1:48" x14ac:dyDescent="0.2">
      <c r="A104" s="47" t="s">
        <v>1007</v>
      </c>
      <c r="B104" s="48" t="s">
        <v>227</v>
      </c>
      <c r="C104" s="149">
        <v>19.711503097598296</v>
      </c>
      <c r="D104" s="49">
        <f t="shared" si="41"/>
        <v>19.71</v>
      </c>
      <c r="E104" s="50"/>
      <c r="F104" s="50">
        <f t="shared" si="42"/>
        <v>0</v>
      </c>
      <c r="G104" s="50"/>
      <c r="H104" s="50">
        <f t="shared" si="43"/>
        <v>0</v>
      </c>
      <c r="I104" s="50"/>
      <c r="J104" s="50">
        <f t="shared" si="44"/>
        <v>0</v>
      </c>
      <c r="K104" s="50"/>
      <c r="L104" s="50">
        <f t="shared" si="45"/>
        <v>0</v>
      </c>
      <c r="M104" s="50"/>
      <c r="N104" s="50">
        <f t="shared" si="46"/>
        <v>0</v>
      </c>
      <c r="O104" s="50"/>
      <c r="P104" s="50"/>
      <c r="Q104" s="50"/>
      <c r="R104" s="50">
        <f t="shared" si="47"/>
        <v>0</v>
      </c>
      <c r="S104" s="50"/>
      <c r="T104" s="50">
        <f t="shared" si="48"/>
        <v>0</v>
      </c>
      <c r="U104" s="50"/>
      <c r="V104" s="50">
        <f t="shared" si="49"/>
        <v>0</v>
      </c>
      <c r="W104" s="50"/>
      <c r="X104" s="50">
        <f t="shared" si="62"/>
        <v>0</v>
      </c>
      <c r="Y104" s="50"/>
      <c r="Z104" s="50">
        <f t="shared" si="63"/>
        <v>0</v>
      </c>
      <c r="AA104" s="50"/>
      <c r="AB104" s="50">
        <f t="shared" si="64"/>
        <v>0</v>
      </c>
      <c r="AC104" s="50"/>
      <c r="AD104" s="50"/>
      <c r="AE104" s="50"/>
      <c r="AF104" s="50">
        <f t="shared" si="65"/>
        <v>0</v>
      </c>
      <c r="AG104" s="50"/>
      <c r="AH104" s="50">
        <f t="shared" si="66"/>
        <v>0</v>
      </c>
      <c r="AI104" s="50"/>
      <c r="AJ104" s="50">
        <f t="shared" si="67"/>
        <v>0</v>
      </c>
      <c r="AK104" s="50"/>
      <c r="AL104" s="50">
        <f t="shared" si="68"/>
        <v>0</v>
      </c>
      <c r="AM104" s="50"/>
      <c r="AN104" s="50">
        <f t="shared" si="69"/>
        <v>0</v>
      </c>
      <c r="AO104" s="50"/>
      <c r="AP104" s="50">
        <f t="shared" si="70"/>
        <v>0</v>
      </c>
      <c r="AQ104" s="50"/>
      <c r="AR104" s="50">
        <f t="shared" si="71"/>
        <v>0</v>
      </c>
      <c r="AS104" s="50"/>
      <c r="AT104" s="50">
        <f t="shared" si="72"/>
        <v>0</v>
      </c>
      <c r="AU104" s="260"/>
      <c r="AV104" s="27">
        <f t="shared" si="73"/>
        <v>0</v>
      </c>
    </row>
    <row r="105" spans="1:48" x14ac:dyDescent="0.2">
      <c r="A105" s="534" t="s">
        <v>272</v>
      </c>
      <c r="B105" s="48" t="s">
        <v>227</v>
      </c>
      <c r="C105" s="49">
        <v>26.25</v>
      </c>
      <c r="D105" s="49">
        <f t="shared" si="41"/>
        <v>26.25</v>
      </c>
      <c r="E105" s="50"/>
      <c r="F105" s="50">
        <f t="shared" si="42"/>
        <v>0</v>
      </c>
      <c r="G105" s="50"/>
      <c r="H105" s="50">
        <f t="shared" si="43"/>
        <v>0</v>
      </c>
      <c r="I105" s="50"/>
      <c r="J105" s="50">
        <f t="shared" si="44"/>
        <v>0</v>
      </c>
      <c r="K105" s="50"/>
      <c r="L105" s="50">
        <f t="shared" si="45"/>
        <v>0</v>
      </c>
      <c r="M105" s="50"/>
      <c r="N105" s="50">
        <f t="shared" si="46"/>
        <v>0</v>
      </c>
      <c r="O105" s="50"/>
      <c r="P105" s="50"/>
      <c r="Q105" s="50"/>
      <c r="R105" s="50">
        <f t="shared" si="47"/>
        <v>0</v>
      </c>
      <c r="S105" s="50"/>
      <c r="T105" s="50">
        <f t="shared" si="48"/>
        <v>0</v>
      </c>
      <c r="U105" s="50"/>
      <c r="V105" s="50">
        <f t="shared" si="49"/>
        <v>0</v>
      </c>
      <c r="W105" s="50"/>
      <c r="X105" s="50">
        <f t="shared" si="62"/>
        <v>0</v>
      </c>
      <c r="Y105" s="50"/>
      <c r="Z105" s="50">
        <f t="shared" si="63"/>
        <v>0</v>
      </c>
      <c r="AA105" s="50"/>
      <c r="AB105" s="50">
        <f t="shared" si="64"/>
        <v>0</v>
      </c>
      <c r="AC105" s="50"/>
      <c r="AD105" s="50"/>
      <c r="AE105" s="50"/>
      <c r="AF105" s="50">
        <f t="shared" si="65"/>
        <v>0</v>
      </c>
      <c r="AG105" s="50"/>
      <c r="AH105" s="50">
        <f t="shared" si="66"/>
        <v>0</v>
      </c>
      <c r="AI105" s="50"/>
      <c r="AJ105" s="50">
        <f t="shared" si="67"/>
        <v>0</v>
      </c>
      <c r="AK105" s="50"/>
      <c r="AL105" s="50">
        <f t="shared" si="68"/>
        <v>0</v>
      </c>
      <c r="AM105" s="50"/>
      <c r="AN105" s="50">
        <f t="shared" si="69"/>
        <v>0</v>
      </c>
      <c r="AO105" s="50"/>
      <c r="AP105" s="50">
        <f t="shared" si="70"/>
        <v>0</v>
      </c>
      <c r="AQ105" s="50"/>
      <c r="AR105" s="50">
        <f t="shared" si="71"/>
        <v>0</v>
      </c>
      <c r="AS105" s="50"/>
      <c r="AT105" s="50">
        <f t="shared" si="72"/>
        <v>0</v>
      </c>
      <c r="AU105" s="260"/>
      <c r="AV105" s="260">
        <f t="shared" si="73"/>
        <v>0</v>
      </c>
    </row>
    <row r="106" spans="1:48" x14ac:dyDescent="0.2">
      <c r="A106" s="534" t="s">
        <v>273</v>
      </c>
      <c r="B106" s="48" t="s">
        <v>227</v>
      </c>
      <c r="C106" s="49">
        <v>10.4</v>
      </c>
      <c r="D106" s="49">
        <f t="shared" si="41"/>
        <v>10.4</v>
      </c>
      <c r="E106" s="50"/>
      <c r="F106" s="50">
        <f t="shared" si="42"/>
        <v>0</v>
      </c>
      <c r="G106" s="50"/>
      <c r="H106" s="50">
        <f t="shared" si="43"/>
        <v>0</v>
      </c>
      <c r="I106" s="50"/>
      <c r="J106" s="50">
        <f t="shared" si="44"/>
        <v>0</v>
      </c>
      <c r="K106" s="50"/>
      <c r="L106" s="50">
        <f t="shared" si="45"/>
        <v>0</v>
      </c>
      <c r="M106" s="50"/>
      <c r="N106" s="50">
        <f t="shared" si="46"/>
        <v>0</v>
      </c>
      <c r="O106" s="50"/>
      <c r="P106" s="50"/>
      <c r="Q106" s="50"/>
      <c r="R106" s="50">
        <f t="shared" si="47"/>
        <v>0</v>
      </c>
      <c r="S106" s="50"/>
      <c r="T106" s="50">
        <f t="shared" si="48"/>
        <v>0</v>
      </c>
      <c r="U106" s="50"/>
      <c r="V106" s="50">
        <f t="shared" si="49"/>
        <v>0</v>
      </c>
      <c r="W106" s="50"/>
      <c r="X106" s="50">
        <f t="shared" si="62"/>
        <v>0</v>
      </c>
      <c r="Y106" s="50"/>
      <c r="Z106" s="50">
        <f t="shared" si="63"/>
        <v>0</v>
      </c>
      <c r="AA106" s="50"/>
      <c r="AB106" s="50">
        <f t="shared" si="64"/>
        <v>0</v>
      </c>
      <c r="AC106" s="50"/>
      <c r="AD106" s="50"/>
      <c r="AE106" s="50"/>
      <c r="AF106" s="50">
        <f t="shared" si="65"/>
        <v>0</v>
      </c>
      <c r="AG106" s="50"/>
      <c r="AH106" s="50">
        <f t="shared" si="66"/>
        <v>0</v>
      </c>
      <c r="AI106" s="50"/>
      <c r="AJ106" s="50">
        <f t="shared" si="67"/>
        <v>0</v>
      </c>
      <c r="AK106" s="50"/>
      <c r="AL106" s="50">
        <f t="shared" si="68"/>
        <v>0</v>
      </c>
      <c r="AM106" s="50"/>
      <c r="AN106" s="50">
        <f t="shared" si="69"/>
        <v>0</v>
      </c>
      <c r="AO106" s="50"/>
      <c r="AP106" s="50">
        <f t="shared" si="70"/>
        <v>0</v>
      </c>
      <c r="AQ106" s="50"/>
      <c r="AR106" s="50">
        <f t="shared" si="71"/>
        <v>0</v>
      </c>
      <c r="AS106" s="50"/>
      <c r="AT106" s="50">
        <f t="shared" si="72"/>
        <v>0</v>
      </c>
      <c r="AU106" s="260"/>
      <c r="AV106" s="260">
        <f t="shared" si="73"/>
        <v>0</v>
      </c>
    </row>
    <row r="107" spans="1:48" x14ac:dyDescent="0.2">
      <c r="A107" s="534" t="s">
        <v>274</v>
      </c>
      <c r="B107" s="48" t="s">
        <v>227</v>
      </c>
      <c r="C107" s="49">
        <v>11.03</v>
      </c>
      <c r="D107" s="49">
        <f t="shared" si="41"/>
        <v>11.03</v>
      </c>
      <c r="E107" s="50"/>
      <c r="F107" s="50">
        <f t="shared" si="42"/>
        <v>0</v>
      </c>
      <c r="G107" s="50"/>
      <c r="H107" s="50">
        <f t="shared" si="43"/>
        <v>0</v>
      </c>
      <c r="I107" s="50"/>
      <c r="J107" s="50">
        <f t="shared" si="44"/>
        <v>0</v>
      </c>
      <c r="K107" s="50"/>
      <c r="L107" s="50">
        <f t="shared" si="45"/>
        <v>0</v>
      </c>
      <c r="M107" s="50"/>
      <c r="N107" s="50">
        <f t="shared" si="46"/>
        <v>0</v>
      </c>
      <c r="O107" s="50"/>
      <c r="P107" s="50"/>
      <c r="Q107" s="50"/>
      <c r="R107" s="50">
        <f t="shared" si="47"/>
        <v>0</v>
      </c>
      <c r="S107" s="50"/>
      <c r="T107" s="50">
        <f t="shared" si="48"/>
        <v>0</v>
      </c>
      <c r="U107" s="50"/>
      <c r="V107" s="50">
        <f t="shared" si="49"/>
        <v>0</v>
      </c>
      <c r="W107" s="50"/>
      <c r="X107" s="50">
        <f t="shared" si="62"/>
        <v>0</v>
      </c>
      <c r="Y107" s="50"/>
      <c r="Z107" s="50">
        <f t="shared" si="63"/>
        <v>0</v>
      </c>
      <c r="AA107" s="50"/>
      <c r="AB107" s="50">
        <f t="shared" si="64"/>
        <v>0</v>
      </c>
      <c r="AC107" s="50"/>
      <c r="AD107" s="50"/>
      <c r="AE107" s="50"/>
      <c r="AF107" s="50">
        <f t="shared" si="65"/>
        <v>0</v>
      </c>
      <c r="AG107" s="50"/>
      <c r="AH107" s="50">
        <f t="shared" si="66"/>
        <v>0</v>
      </c>
      <c r="AI107" s="50"/>
      <c r="AJ107" s="50">
        <f t="shared" si="67"/>
        <v>0</v>
      </c>
      <c r="AK107" s="50"/>
      <c r="AL107" s="50">
        <f t="shared" si="68"/>
        <v>0</v>
      </c>
      <c r="AM107" s="50"/>
      <c r="AN107" s="50">
        <f t="shared" si="69"/>
        <v>0</v>
      </c>
      <c r="AO107" s="50"/>
      <c r="AP107" s="50">
        <f t="shared" si="70"/>
        <v>0</v>
      </c>
      <c r="AQ107" s="50"/>
      <c r="AR107" s="50">
        <f t="shared" si="71"/>
        <v>0</v>
      </c>
      <c r="AS107" s="50"/>
      <c r="AT107" s="50">
        <f t="shared" si="72"/>
        <v>0</v>
      </c>
      <c r="AU107" s="260"/>
      <c r="AV107" s="260">
        <f t="shared" si="73"/>
        <v>0</v>
      </c>
    </row>
    <row r="108" spans="1:48" x14ac:dyDescent="0.2">
      <c r="A108" s="534" t="s">
        <v>275</v>
      </c>
      <c r="B108" s="48" t="s">
        <v>227</v>
      </c>
      <c r="C108" s="49">
        <v>11.03</v>
      </c>
      <c r="D108" s="49">
        <f t="shared" si="41"/>
        <v>11.03</v>
      </c>
      <c r="E108" s="50"/>
      <c r="F108" s="50">
        <f t="shared" si="42"/>
        <v>0</v>
      </c>
      <c r="G108" s="50"/>
      <c r="H108" s="50">
        <f t="shared" si="43"/>
        <v>0</v>
      </c>
      <c r="I108" s="50"/>
      <c r="J108" s="50">
        <f t="shared" si="44"/>
        <v>0</v>
      </c>
      <c r="K108" s="50"/>
      <c r="L108" s="50">
        <f t="shared" si="45"/>
        <v>0</v>
      </c>
      <c r="M108" s="50"/>
      <c r="N108" s="50">
        <f t="shared" si="46"/>
        <v>0</v>
      </c>
      <c r="O108" s="50"/>
      <c r="P108" s="50"/>
      <c r="Q108" s="50"/>
      <c r="R108" s="50">
        <f t="shared" si="47"/>
        <v>0</v>
      </c>
      <c r="S108" s="50"/>
      <c r="T108" s="50">
        <f t="shared" si="48"/>
        <v>0</v>
      </c>
      <c r="U108" s="50"/>
      <c r="V108" s="50">
        <f t="shared" si="49"/>
        <v>0</v>
      </c>
      <c r="W108" s="50"/>
      <c r="X108" s="50">
        <f t="shared" si="62"/>
        <v>0</v>
      </c>
      <c r="Y108" s="50"/>
      <c r="Z108" s="50">
        <f t="shared" si="63"/>
        <v>0</v>
      </c>
      <c r="AA108" s="50"/>
      <c r="AB108" s="50">
        <f t="shared" si="64"/>
        <v>0</v>
      </c>
      <c r="AC108" s="50"/>
      <c r="AD108" s="50"/>
      <c r="AE108" s="50"/>
      <c r="AF108" s="50">
        <f t="shared" si="65"/>
        <v>0</v>
      </c>
      <c r="AG108" s="50"/>
      <c r="AH108" s="50">
        <f t="shared" si="66"/>
        <v>0</v>
      </c>
      <c r="AI108" s="50"/>
      <c r="AJ108" s="50">
        <f t="shared" si="67"/>
        <v>0</v>
      </c>
      <c r="AK108" s="50"/>
      <c r="AL108" s="50">
        <f t="shared" si="68"/>
        <v>0</v>
      </c>
      <c r="AM108" s="50"/>
      <c r="AN108" s="50">
        <f t="shared" si="69"/>
        <v>0</v>
      </c>
      <c r="AO108" s="50"/>
      <c r="AP108" s="50">
        <f t="shared" si="70"/>
        <v>0</v>
      </c>
      <c r="AQ108" s="50"/>
      <c r="AR108" s="50">
        <f t="shared" si="71"/>
        <v>0</v>
      </c>
      <c r="AS108" s="50"/>
      <c r="AT108" s="50">
        <f t="shared" si="72"/>
        <v>0</v>
      </c>
      <c r="AU108" s="260"/>
      <c r="AV108" s="260">
        <f t="shared" si="73"/>
        <v>0</v>
      </c>
    </row>
    <row r="109" spans="1:48" x14ac:dyDescent="0.2">
      <c r="A109" s="534" t="s">
        <v>276</v>
      </c>
      <c r="B109" s="48" t="s">
        <v>227</v>
      </c>
      <c r="C109" s="49">
        <v>9.4</v>
      </c>
      <c r="D109" s="49">
        <f t="shared" si="41"/>
        <v>9.4</v>
      </c>
      <c r="E109" s="50"/>
      <c r="F109" s="50">
        <f t="shared" si="42"/>
        <v>0</v>
      </c>
      <c r="G109" s="50"/>
      <c r="H109" s="50">
        <f t="shared" si="43"/>
        <v>0</v>
      </c>
      <c r="I109" s="50"/>
      <c r="J109" s="50">
        <f t="shared" si="44"/>
        <v>0</v>
      </c>
      <c r="K109" s="50"/>
      <c r="L109" s="50">
        <f t="shared" si="45"/>
        <v>0</v>
      </c>
      <c r="M109" s="50"/>
      <c r="N109" s="50">
        <f t="shared" si="46"/>
        <v>0</v>
      </c>
      <c r="O109" s="50"/>
      <c r="P109" s="50"/>
      <c r="Q109" s="50"/>
      <c r="R109" s="50">
        <f t="shared" si="47"/>
        <v>0</v>
      </c>
      <c r="S109" s="50"/>
      <c r="T109" s="50">
        <f t="shared" si="48"/>
        <v>0</v>
      </c>
      <c r="U109" s="50"/>
      <c r="V109" s="50">
        <f t="shared" si="49"/>
        <v>0</v>
      </c>
      <c r="W109" s="50"/>
      <c r="X109" s="50">
        <f t="shared" si="62"/>
        <v>0</v>
      </c>
      <c r="Y109" s="50"/>
      <c r="Z109" s="50">
        <f t="shared" si="63"/>
        <v>0</v>
      </c>
      <c r="AA109" s="50"/>
      <c r="AB109" s="50">
        <f t="shared" si="64"/>
        <v>0</v>
      </c>
      <c r="AC109" s="50"/>
      <c r="AD109" s="50"/>
      <c r="AE109" s="50"/>
      <c r="AF109" s="50">
        <f t="shared" si="65"/>
        <v>0</v>
      </c>
      <c r="AG109" s="50"/>
      <c r="AH109" s="50">
        <f t="shared" si="66"/>
        <v>0</v>
      </c>
      <c r="AI109" s="50"/>
      <c r="AJ109" s="50">
        <f t="shared" si="67"/>
        <v>0</v>
      </c>
      <c r="AK109" s="50"/>
      <c r="AL109" s="50">
        <f t="shared" si="68"/>
        <v>0</v>
      </c>
      <c r="AM109" s="50"/>
      <c r="AN109" s="50">
        <f t="shared" si="69"/>
        <v>0</v>
      </c>
      <c r="AO109" s="50"/>
      <c r="AP109" s="50">
        <f t="shared" si="70"/>
        <v>0</v>
      </c>
      <c r="AQ109" s="50"/>
      <c r="AR109" s="50">
        <f t="shared" si="71"/>
        <v>0</v>
      </c>
      <c r="AS109" s="50"/>
      <c r="AT109" s="50">
        <f t="shared" si="72"/>
        <v>0</v>
      </c>
      <c r="AU109" s="260"/>
      <c r="AV109" s="260">
        <f t="shared" si="73"/>
        <v>0</v>
      </c>
    </row>
    <row r="110" spans="1:48" x14ac:dyDescent="0.2">
      <c r="A110" s="47" t="s">
        <v>1076</v>
      </c>
      <c r="B110" s="48" t="s">
        <v>227</v>
      </c>
      <c r="C110" s="149">
        <v>11.194875087414518</v>
      </c>
      <c r="D110" s="49">
        <f t="shared" si="41"/>
        <v>11.19</v>
      </c>
      <c r="E110" s="50">
        <v>1</v>
      </c>
      <c r="F110" s="50">
        <f t="shared" si="42"/>
        <v>11.19</v>
      </c>
      <c r="G110" s="50">
        <v>2</v>
      </c>
      <c r="H110" s="479">
        <f t="shared" si="43"/>
        <v>22.38</v>
      </c>
      <c r="I110" s="50"/>
      <c r="J110" s="50">
        <f t="shared" si="44"/>
        <v>0</v>
      </c>
      <c r="K110" s="50"/>
      <c r="L110" s="50">
        <f t="shared" si="45"/>
        <v>0</v>
      </c>
      <c r="M110" s="50"/>
      <c r="N110" s="50">
        <f t="shared" si="46"/>
        <v>0</v>
      </c>
      <c r="O110" s="50">
        <v>2</v>
      </c>
      <c r="P110" s="479">
        <f>D110*O110</f>
        <v>22.38</v>
      </c>
      <c r="Q110" s="50"/>
      <c r="R110" s="50">
        <f t="shared" si="47"/>
        <v>0</v>
      </c>
      <c r="S110" s="50"/>
      <c r="T110" s="50">
        <f t="shared" si="48"/>
        <v>0</v>
      </c>
      <c r="U110" s="50"/>
      <c r="V110" s="50">
        <f t="shared" si="49"/>
        <v>0</v>
      </c>
      <c r="W110" s="50"/>
      <c r="X110" s="50">
        <f t="shared" si="62"/>
        <v>0</v>
      </c>
      <c r="Y110" s="50"/>
      <c r="Z110" s="50">
        <f t="shared" si="63"/>
        <v>0</v>
      </c>
      <c r="AA110" s="50"/>
      <c r="AB110" s="50">
        <f t="shared" si="64"/>
        <v>0</v>
      </c>
      <c r="AC110" s="50"/>
      <c r="AD110" s="50"/>
      <c r="AE110" s="50"/>
      <c r="AF110" s="50">
        <f t="shared" si="65"/>
        <v>0</v>
      </c>
      <c r="AG110" s="50"/>
      <c r="AH110" s="50">
        <f t="shared" si="66"/>
        <v>0</v>
      </c>
      <c r="AI110" s="50">
        <v>1</v>
      </c>
      <c r="AJ110" s="50">
        <f t="shared" si="67"/>
        <v>11.19</v>
      </c>
      <c r="AK110" s="50"/>
      <c r="AL110" s="50">
        <f t="shared" si="68"/>
        <v>0</v>
      </c>
      <c r="AM110" s="50">
        <v>2</v>
      </c>
      <c r="AN110" s="50">
        <f t="shared" si="69"/>
        <v>22.38</v>
      </c>
      <c r="AO110" s="50"/>
      <c r="AP110" s="50">
        <f t="shared" si="70"/>
        <v>0</v>
      </c>
      <c r="AQ110" s="50"/>
      <c r="AR110" s="50">
        <f t="shared" si="71"/>
        <v>0</v>
      </c>
      <c r="AS110" s="50"/>
      <c r="AT110" s="50">
        <f t="shared" si="72"/>
        <v>0</v>
      </c>
      <c r="AU110" s="260"/>
      <c r="AV110" s="27">
        <f t="shared" si="73"/>
        <v>0</v>
      </c>
    </row>
    <row r="111" spans="1:48" x14ac:dyDescent="0.2">
      <c r="A111" s="534" t="s">
        <v>277</v>
      </c>
      <c r="B111" s="48" t="s">
        <v>227</v>
      </c>
      <c r="C111" s="49">
        <v>16.59</v>
      </c>
      <c r="D111" s="49">
        <f t="shared" si="41"/>
        <v>16.59</v>
      </c>
      <c r="E111" s="50"/>
      <c r="F111" s="50">
        <f t="shared" si="42"/>
        <v>0</v>
      </c>
      <c r="G111" s="50"/>
      <c r="H111" s="50">
        <f t="shared" si="43"/>
        <v>0</v>
      </c>
      <c r="I111" s="50"/>
      <c r="J111" s="50">
        <f t="shared" si="44"/>
        <v>0</v>
      </c>
      <c r="K111" s="50"/>
      <c r="L111" s="50">
        <f t="shared" si="45"/>
        <v>0</v>
      </c>
      <c r="M111" s="50"/>
      <c r="N111" s="50">
        <f t="shared" si="46"/>
        <v>0</v>
      </c>
      <c r="O111" s="50"/>
      <c r="P111" s="50"/>
      <c r="Q111" s="50"/>
      <c r="R111" s="50">
        <f t="shared" si="47"/>
        <v>0</v>
      </c>
      <c r="S111" s="50"/>
      <c r="T111" s="50">
        <f t="shared" si="48"/>
        <v>0</v>
      </c>
      <c r="U111" s="50"/>
      <c r="V111" s="50">
        <f t="shared" si="49"/>
        <v>0</v>
      </c>
      <c r="W111" s="50"/>
      <c r="X111" s="50">
        <f t="shared" si="62"/>
        <v>0</v>
      </c>
      <c r="Y111" s="50"/>
      <c r="Z111" s="50">
        <f t="shared" si="63"/>
        <v>0</v>
      </c>
      <c r="AA111" s="50"/>
      <c r="AB111" s="50">
        <f t="shared" si="64"/>
        <v>0</v>
      </c>
      <c r="AC111" s="50"/>
      <c r="AD111" s="50"/>
      <c r="AE111" s="50"/>
      <c r="AF111" s="50">
        <f t="shared" si="65"/>
        <v>0</v>
      </c>
      <c r="AG111" s="50"/>
      <c r="AH111" s="50">
        <f t="shared" si="66"/>
        <v>0</v>
      </c>
      <c r="AI111" s="50"/>
      <c r="AJ111" s="50">
        <f t="shared" si="67"/>
        <v>0</v>
      </c>
      <c r="AK111" s="50"/>
      <c r="AL111" s="50">
        <f t="shared" si="68"/>
        <v>0</v>
      </c>
      <c r="AM111" s="50"/>
      <c r="AN111" s="50">
        <f t="shared" si="69"/>
        <v>0</v>
      </c>
      <c r="AO111" s="50"/>
      <c r="AP111" s="50">
        <f t="shared" si="70"/>
        <v>0</v>
      </c>
      <c r="AQ111" s="50"/>
      <c r="AR111" s="50">
        <f t="shared" si="71"/>
        <v>0</v>
      </c>
      <c r="AS111" s="50"/>
      <c r="AT111" s="50">
        <f t="shared" si="72"/>
        <v>0</v>
      </c>
      <c r="AU111" s="260"/>
      <c r="AV111" s="260">
        <f t="shared" si="73"/>
        <v>0</v>
      </c>
    </row>
    <row r="112" spans="1:48" x14ac:dyDescent="0.2">
      <c r="A112" s="534" t="s">
        <v>278</v>
      </c>
      <c r="B112" s="48" t="s">
        <v>227</v>
      </c>
      <c r="C112" s="49">
        <v>19.43</v>
      </c>
      <c r="D112" s="49">
        <f t="shared" si="41"/>
        <v>19.43</v>
      </c>
      <c r="E112" s="50"/>
      <c r="F112" s="50">
        <f t="shared" si="42"/>
        <v>0</v>
      </c>
      <c r="G112" s="50"/>
      <c r="H112" s="50">
        <f t="shared" si="43"/>
        <v>0</v>
      </c>
      <c r="I112" s="50"/>
      <c r="J112" s="50">
        <f t="shared" si="44"/>
        <v>0</v>
      </c>
      <c r="K112" s="50"/>
      <c r="L112" s="50">
        <f t="shared" si="45"/>
        <v>0</v>
      </c>
      <c r="M112" s="50"/>
      <c r="N112" s="50">
        <f t="shared" si="46"/>
        <v>0</v>
      </c>
      <c r="O112" s="50"/>
      <c r="P112" s="50"/>
      <c r="Q112" s="50"/>
      <c r="R112" s="50">
        <f t="shared" si="47"/>
        <v>0</v>
      </c>
      <c r="S112" s="50"/>
      <c r="T112" s="50">
        <f t="shared" si="48"/>
        <v>0</v>
      </c>
      <c r="U112" s="50"/>
      <c r="V112" s="50">
        <f t="shared" si="49"/>
        <v>0</v>
      </c>
      <c r="W112" s="50"/>
      <c r="X112" s="50">
        <f t="shared" si="62"/>
        <v>0</v>
      </c>
      <c r="Y112" s="50"/>
      <c r="Z112" s="50">
        <f t="shared" si="63"/>
        <v>0</v>
      </c>
      <c r="AA112" s="50"/>
      <c r="AB112" s="50">
        <f t="shared" si="64"/>
        <v>0</v>
      </c>
      <c r="AC112" s="50"/>
      <c r="AD112" s="50"/>
      <c r="AE112" s="50"/>
      <c r="AF112" s="50">
        <f t="shared" si="65"/>
        <v>0</v>
      </c>
      <c r="AG112" s="50"/>
      <c r="AH112" s="50">
        <f t="shared" si="66"/>
        <v>0</v>
      </c>
      <c r="AI112" s="50"/>
      <c r="AJ112" s="50">
        <f t="shared" si="67"/>
        <v>0</v>
      </c>
      <c r="AK112" s="50"/>
      <c r="AL112" s="50">
        <f t="shared" si="68"/>
        <v>0</v>
      </c>
      <c r="AM112" s="50"/>
      <c r="AN112" s="50">
        <f t="shared" si="69"/>
        <v>0</v>
      </c>
      <c r="AO112" s="50"/>
      <c r="AP112" s="50">
        <f t="shared" si="70"/>
        <v>0</v>
      </c>
      <c r="AQ112" s="50"/>
      <c r="AR112" s="50">
        <f t="shared" si="71"/>
        <v>0</v>
      </c>
      <c r="AS112" s="50"/>
      <c r="AT112" s="50">
        <f t="shared" si="72"/>
        <v>0</v>
      </c>
      <c r="AU112" s="260"/>
      <c r="AV112" s="260">
        <f t="shared" si="73"/>
        <v>0</v>
      </c>
    </row>
    <row r="113" spans="1:48" x14ac:dyDescent="0.2">
      <c r="A113" s="534" t="s">
        <v>279</v>
      </c>
      <c r="B113" s="48" t="s">
        <v>227</v>
      </c>
      <c r="C113" s="49">
        <v>11.03</v>
      </c>
      <c r="D113" s="49">
        <f t="shared" si="41"/>
        <v>11.03</v>
      </c>
      <c r="E113" s="50"/>
      <c r="F113" s="50">
        <f t="shared" si="42"/>
        <v>0</v>
      </c>
      <c r="G113" s="50"/>
      <c r="H113" s="50">
        <f t="shared" si="43"/>
        <v>0</v>
      </c>
      <c r="I113" s="50"/>
      <c r="J113" s="50">
        <f t="shared" si="44"/>
        <v>0</v>
      </c>
      <c r="K113" s="50"/>
      <c r="L113" s="50">
        <f t="shared" si="45"/>
        <v>0</v>
      </c>
      <c r="M113" s="50"/>
      <c r="N113" s="50">
        <f t="shared" si="46"/>
        <v>0</v>
      </c>
      <c r="O113" s="50"/>
      <c r="P113" s="50"/>
      <c r="Q113" s="50"/>
      <c r="R113" s="50">
        <f t="shared" si="47"/>
        <v>0</v>
      </c>
      <c r="S113" s="50"/>
      <c r="T113" s="50">
        <f t="shared" si="48"/>
        <v>0</v>
      </c>
      <c r="U113" s="50"/>
      <c r="V113" s="50">
        <f t="shared" si="49"/>
        <v>0</v>
      </c>
      <c r="W113" s="50"/>
      <c r="X113" s="50">
        <f t="shared" si="62"/>
        <v>0</v>
      </c>
      <c r="Y113" s="50"/>
      <c r="Z113" s="50">
        <f t="shared" si="63"/>
        <v>0</v>
      </c>
      <c r="AA113" s="50"/>
      <c r="AB113" s="50">
        <f t="shared" si="64"/>
        <v>0</v>
      </c>
      <c r="AC113" s="50"/>
      <c r="AD113" s="50"/>
      <c r="AE113" s="50"/>
      <c r="AF113" s="50">
        <f t="shared" si="65"/>
        <v>0</v>
      </c>
      <c r="AG113" s="50"/>
      <c r="AH113" s="50">
        <f t="shared" si="66"/>
        <v>0</v>
      </c>
      <c r="AI113" s="50"/>
      <c r="AJ113" s="50">
        <f t="shared" si="67"/>
        <v>0</v>
      </c>
      <c r="AK113" s="50"/>
      <c r="AL113" s="50">
        <f t="shared" si="68"/>
        <v>0</v>
      </c>
      <c r="AM113" s="50"/>
      <c r="AN113" s="50">
        <f t="shared" si="69"/>
        <v>0</v>
      </c>
      <c r="AO113" s="50"/>
      <c r="AP113" s="50">
        <f t="shared" si="70"/>
        <v>0</v>
      </c>
      <c r="AQ113" s="50"/>
      <c r="AR113" s="50">
        <f t="shared" si="71"/>
        <v>0</v>
      </c>
      <c r="AS113" s="50"/>
      <c r="AT113" s="50">
        <f t="shared" si="72"/>
        <v>0</v>
      </c>
      <c r="AU113" s="260"/>
      <c r="AV113" s="260">
        <f t="shared" si="73"/>
        <v>0</v>
      </c>
    </row>
    <row r="114" spans="1:48" x14ac:dyDescent="0.2">
      <c r="A114" s="534" t="s">
        <v>280</v>
      </c>
      <c r="B114" s="48" t="s">
        <v>227</v>
      </c>
      <c r="C114" s="49">
        <v>17.48</v>
      </c>
      <c r="D114" s="49">
        <f t="shared" si="41"/>
        <v>17.48</v>
      </c>
      <c r="E114" s="50"/>
      <c r="F114" s="50">
        <f t="shared" si="42"/>
        <v>0</v>
      </c>
      <c r="G114" s="50"/>
      <c r="H114" s="50">
        <f t="shared" si="43"/>
        <v>0</v>
      </c>
      <c r="I114" s="50"/>
      <c r="J114" s="50">
        <f t="shared" si="44"/>
        <v>0</v>
      </c>
      <c r="K114" s="50"/>
      <c r="L114" s="50">
        <f t="shared" si="45"/>
        <v>0</v>
      </c>
      <c r="M114" s="50"/>
      <c r="N114" s="50">
        <f t="shared" si="46"/>
        <v>0</v>
      </c>
      <c r="O114" s="50"/>
      <c r="P114" s="50"/>
      <c r="Q114" s="50"/>
      <c r="R114" s="50">
        <f t="shared" si="47"/>
        <v>0</v>
      </c>
      <c r="S114" s="50"/>
      <c r="T114" s="50">
        <f t="shared" si="48"/>
        <v>0</v>
      </c>
      <c r="U114" s="50"/>
      <c r="V114" s="50">
        <f t="shared" si="49"/>
        <v>0</v>
      </c>
      <c r="W114" s="50"/>
      <c r="X114" s="50">
        <f t="shared" si="62"/>
        <v>0</v>
      </c>
      <c r="Y114" s="50"/>
      <c r="Z114" s="50">
        <f t="shared" si="63"/>
        <v>0</v>
      </c>
      <c r="AA114" s="50"/>
      <c r="AB114" s="50">
        <f t="shared" si="64"/>
        <v>0</v>
      </c>
      <c r="AC114" s="50"/>
      <c r="AD114" s="50"/>
      <c r="AE114" s="50"/>
      <c r="AF114" s="50">
        <f t="shared" si="65"/>
        <v>0</v>
      </c>
      <c r="AG114" s="50"/>
      <c r="AH114" s="50">
        <f t="shared" si="66"/>
        <v>0</v>
      </c>
      <c r="AI114" s="50"/>
      <c r="AJ114" s="50">
        <f t="shared" si="67"/>
        <v>0</v>
      </c>
      <c r="AK114" s="50"/>
      <c r="AL114" s="50">
        <f t="shared" si="68"/>
        <v>0</v>
      </c>
      <c r="AM114" s="50"/>
      <c r="AN114" s="50">
        <f t="shared" si="69"/>
        <v>0</v>
      </c>
      <c r="AO114" s="50"/>
      <c r="AP114" s="50">
        <f t="shared" si="70"/>
        <v>0</v>
      </c>
      <c r="AQ114" s="50"/>
      <c r="AR114" s="50">
        <f t="shared" si="71"/>
        <v>0</v>
      </c>
      <c r="AS114" s="50"/>
      <c r="AT114" s="50">
        <f t="shared" si="72"/>
        <v>0</v>
      </c>
      <c r="AU114" s="260"/>
      <c r="AV114" s="260">
        <f t="shared" si="73"/>
        <v>0</v>
      </c>
    </row>
    <row r="115" spans="1:48" x14ac:dyDescent="0.2">
      <c r="A115" s="47" t="s">
        <v>1078</v>
      </c>
      <c r="B115" s="48" t="s">
        <v>227</v>
      </c>
      <c r="C115" s="149">
        <v>14.576621678017377</v>
      </c>
      <c r="D115" s="49">
        <f t="shared" si="41"/>
        <v>14.58</v>
      </c>
      <c r="E115" s="50"/>
      <c r="F115" s="50">
        <f t="shared" ref="F115:F179" si="74">+D115*E115</f>
        <v>0</v>
      </c>
      <c r="G115" s="50"/>
      <c r="H115" s="50">
        <f t="shared" ref="H115:H179" si="75">+D115*G115</f>
        <v>0</v>
      </c>
      <c r="I115" s="50"/>
      <c r="J115" s="50">
        <f t="shared" ref="J115:J179" si="76">+D115*I115</f>
        <v>0</v>
      </c>
      <c r="K115" s="50"/>
      <c r="L115" s="50">
        <f t="shared" ref="L115:L179" si="77">+D115*K115</f>
        <v>0</v>
      </c>
      <c r="M115" s="50">
        <v>1</v>
      </c>
      <c r="N115" s="50">
        <f t="shared" ref="N115:N179" si="78">+D115*M115</f>
        <v>14.58</v>
      </c>
      <c r="O115" s="50"/>
      <c r="P115" s="50"/>
      <c r="Q115" s="50"/>
      <c r="R115" s="50">
        <f t="shared" ref="R115:R179" si="79">+D115*Q115</f>
        <v>0</v>
      </c>
      <c r="S115" s="50"/>
      <c r="T115" s="50">
        <f t="shared" ref="T115:T179" si="80">+D115*S115</f>
        <v>0</v>
      </c>
      <c r="U115" s="50"/>
      <c r="V115" s="50">
        <f t="shared" ref="V115:V179" si="81">+D115*U115</f>
        <v>0</v>
      </c>
      <c r="W115" s="50"/>
      <c r="X115" s="50">
        <f t="shared" si="62"/>
        <v>0</v>
      </c>
      <c r="Y115" s="50"/>
      <c r="Z115" s="50">
        <f t="shared" si="63"/>
        <v>0</v>
      </c>
      <c r="AA115" s="50"/>
      <c r="AB115" s="50">
        <f t="shared" si="64"/>
        <v>0</v>
      </c>
      <c r="AC115" s="50"/>
      <c r="AD115" s="50"/>
      <c r="AE115" s="50"/>
      <c r="AF115" s="50">
        <f t="shared" si="65"/>
        <v>0</v>
      </c>
      <c r="AG115" s="50"/>
      <c r="AH115" s="50">
        <f t="shared" si="66"/>
        <v>0</v>
      </c>
      <c r="AI115" s="50"/>
      <c r="AJ115" s="50">
        <f t="shared" si="67"/>
        <v>0</v>
      </c>
      <c r="AK115" s="50"/>
      <c r="AL115" s="50">
        <f t="shared" si="68"/>
        <v>0</v>
      </c>
      <c r="AM115" s="50"/>
      <c r="AN115" s="50">
        <f t="shared" si="69"/>
        <v>0</v>
      </c>
      <c r="AO115" s="50"/>
      <c r="AP115" s="50">
        <f t="shared" si="70"/>
        <v>0</v>
      </c>
      <c r="AQ115" s="50"/>
      <c r="AR115" s="50">
        <f t="shared" si="71"/>
        <v>0</v>
      </c>
      <c r="AS115" s="50"/>
      <c r="AT115" s="50">
        <f t="shared" si="72"/>
        <v>0</v>
      </c>
      <c r="AU115" s="260"/>
      <c r="AV115" s="27">
        <f t="shared" si="73"/>
        <v>0</v>
      </c>
    </row>
    <row r="116" spans="1:48" x14ac:dyDescent="0.2">
      <c r="A116" s="534" t="s">
        <v>281</v>
      </c>
      <c r="B116" s="48" t="s">
        <v>227</v>
      </c>
      <c r="C116" s="49">
        <v>18.899999999999999</v>
      </c>
      <c r="D116" s="49">
        <f t="shared" ref="D116:D179" si="82">ROUND((C116*(1+D$4)),2)</f>
        <v>18.899999999999999</v>
      </c>
      <c r="E116" s="50"/>
      <c r="F116" s="50">
        <f t="shared" si="74"/>
        <v>0</v>
      </c>
      <c r="G116" s="50"/>
      <c r="H116" s="50">
        <f t="shared" si="75"/>
        <v>0</v>
      </c>
      <c r="I116" s="50"/>
      <c r="J116" s="50">
        <f t="shared" si="76"/>
        <v>0</v>
      </c>
      <c r="K116" s="50"/>
      <c r="L116" s="50">
        <f t="shared" si="77"/>
        <v>0</v>
      </c>
      <c r="M116" s="50"/>
      <c r="N116" s="50">
        <f t="shared" si="78"/>
        <v>0</v>
      </c>
      <c r="O116" s="50"/>
      <c r="P116" s="50"/>
      <c r="Q116" s="50"/>
      <c r="R116" s="50">
        <f t="shared" si="79"/>
        <v>0</v>
      </c>
      <c r="S116" s="50"/>
      <c r="T116" s="50">
        <f t="shared" si="80"/>
        <v>0</v>
      </c>
      <c r="U116" s="50"/>
      <c r="V116" s="50">
        <f t="shared" si="81"/>
        <v>0</v>
      </c>
      <c r="W116" s="50"/>
      <c r="X116" s="50">
        <f t="shared" si="62"/>
        <v>0</v>
      </c>
      <c r="Y116" s="50"/>
      <c r="Z116" s="50">
        <f t="shared" si="63"/>
        <v>0</v>
      </c>
      <c r="AA116" s="50"/>
      <c r="AB116" s="50">
        <f t="shared" si="64"/>
        <v>0</v>
      </c>
      <c r="AC116" s="50"/>
      <c r="AD116" s="50"/>
      <c r="AE116" s="50"/>
      <c r="AF116" s="50">
        <f t="shared" si="65"/>
        <v>0</v>
      </c>
      <c r="AG116" s="50"/>
      <c r="AH116" s="50">
        <f t="shared" si="66"/>
        <v>0</v>
      </c>
      <c r="AI116" s="50"/>
      <c r="AJ116" s="50">
        <f t="shared" si="67"/>
        <v>0</v>
      </c>
      <c r="AK116" s="50"/>
      <c r="AL116" s="50">
        <f t="shared" si="68"/>
        <v>0</v>
      </c>
      <c r="AM116" s="50"/>
      <c r="AN116" s="50">
        <f t="shared" si="69"/>
        <v>0</v>
      </c>
      <c r="AO116" s="50"/>
      <c r="AP116" s="50">
        <f t="shared" si="70"/>
        <v>0</v>
      </c>
      <c r="AQ116" s="50"/>
      <c r="AR116" s="50">
        <f t="shared" si="71"/>
        <v>0</v>
      </c>
      <c r="AS116" s="50"/>
      <c r="AT116" s="50">
        <f t="shared" si="72"/>
        <v>0</v>
      </c>
      <c r="AU116" s="260"/>
      <c r="AV116" s="260">
        <f t="shared" si="73"/>
        <v>0</v>
      </c>
    </row>
    <row r="117" spans="1:48" x14ac:dyDescent="0.2">
      <c r="A117" s="47" t="s">
        <v>1082</v>
      </c>
      <c r="B117" s="48" t="s">
        <v>227</v>
      </c>
      <c r="C117" s="149">
        <v>14.695322766846134</v>
      </c>
      <c r="D117" s="49">
        <f t="shared" si="82"/>
        <v>14.7</v>
      </c>
      <c r="E117" s="50"/>
      <c r="F117" s="50">
        <f t="shared" si="74"/>
        <v>0</v>
      </c>
      <c r="G117" s="50"/>
      <c r="H117" s="50">
        <f t="shared" si="75"/>
        <v>0</v>
      </c>
      <c r="I117" s="50"/>
      <c r="J117" s="50">
        <f t="shared" si="76"/>
        <v>0</v>
      </c>
      <c r="K117" s="50"/>
      <c r="L117" s="50">
        <f t="shared" si="77"/>
        <v>0</v>
      </c>
      <c r="M117" s="50"/>
      <c r="N117" s="50">
        <f t="shared" si="78"/>
        <v>0</v>
      </c>
      <c r="O117" s="50"/>
      <c r="P117" s="50"/>
      <c r="Q117" s="50"/>
      <c r="R117" s="50">
        <f t="shared" si="79"/>
        <v>0</v>
      </c>
      <c r="S117" s="50"/>
      <c r="T117" s="50">
        <f t="shared" si="80"/>
        <v>0</v>
      </c>
      <c r="U117" s="50"/>
      <c r="V117" s="50">
        <f t="shared" si="81"/>
        <v>0</v>
      </c>
      <c r="W117" s="50"/>
      <c r="X117" s="50">
        <f t="shared" si="62"/>
        <v>0</v>
      </c>
      <c r="Y117" s="50"/>
      <c r="Z117" s="50">
        <f t="shared" si="63"/>
        <v>0</v>
      </c>
      <c r="AA117" s="50">
        <v>1</v>
      </c>
      <c r="AB117" s="479">
        <f t="shared" si="64"/>
        <v>14.7</v>
      </c>
      <c r="AC117" s="50"/>
      <c r="AD117" s="50"/>
      <c r="AE117" s="50">
        <v>2</v>
      </c>
      <c r="AF117" s="50">
        <f t="shared" si="65"/>
        <v>29.4</v>
      </c>
      <c r="AG117" s="50"/>
      <c r="AH117" s="50">
        <f t="shared" si="66"/>
        <v>0</v>
      </c>
      <c r="AI117" s="50"/>
      <c r="AJ117" s="50">
        <f t="shared" si="67"/>
        <v>0</v>
      </c>
      <c r="AK117" s="50"/>
      <c r="AL117" s="50">
        <f t="shared" si="68"/>
        <v>0</v>
      </c>
      <c r="AM117" s="50"/>
      <c r="AN117" s="50">
        <f t="shared" si="69"/>
        <v>0</v>
      </c>
      <c r="AO117" s="50"/>
      <c r="AP117" s="50">
        <f t="shared" si="70"/>
        <v>0</v>
      </c>
      <c r="AQ117" s="50"/>
      <c r="AR117" s="50">
        <f t="shared" si="71"/>
        <v>0</v>
      </c>
      <c r="AS117" s="50">
        <v>1</v>
      </c>
      <c r="AT117" s="50">
        <f t="shared" si="72"/>
        <v>14.7</v>
      </c>
      <c r="AU117" s="260"/>
      <c r="AV117" s="27">
        <f t="shared" si="73"/>
        <v>0</v>
      </c>
    </row>
    <row r="118" spans="1:48" x14ac:dyDescent="0.2">
      <c r="A118" s="534" t="s">
        <v>781</v>
      </c>
      <c r="B118" s="48" t="s">
        <v>227</v>
      </c>
      <c r="C118" s="49">
        <v>9.64</v>
      </c>
      <c r="D118" s="49">
        <f t="shared" si="82"/>
        <v>9.64</v>
      </c>
      <c r="E118" s="50"/>
      <c r="F118" s="50">
        <f t="shared" si="74"/>
        <v>0</v>
      </c>
      <c r="G118" s="50"/>
      <c r="H118" s="50">
        <f t="shared" si="75"/>
        <v>0</v>
      </c>
      <c r="I118" s="50"/>
      <c r="J118" s="50">
        <f t="shared" si="76"/>
        <v>0</v>
      </c>
      <c r="K118" s="50"/>
      <c r="L118" s="50">
        <f t="shared" si="77"/>
        <v>0</v>
      </c>
      <c r="M118" s="50"/>
      <c r="N118" s="50">
        <f t="shared" si="78"/>
        <v>0</v>
      </c>
      <c r="O118" s="50"/>
      <c r="P118" s="50"/>
      <c r="Q118" s="50"/>
      <c r="R118" s="50">
        <f t="shared" si="79"/>
        <v>0</v>
      </c>
      <c r="S118" s="50"/>
      <c r="T118" s="50">
        <f t="shared" si="80"/>
        <v>0</v>
      </c>
      <c r="U118" s="50"/>
      <c r="V118" s="50">
        <f t="shared" si="81"/>
        <v>0</v>
      </c>
      <c r="W118" s="50"/>
      <c r="X118" s="50">
        <f t="shared" si="62"/>
        <v>0</v>
      </c>
      <c r="Y118" s="50"/>
      <c r="Z118" s="50">
        <f t="shared" si="63"/>
        <v>0</v>
      </c>
      <c r="AA118" s="50"/>
      <c r="AB118" s="50">
        <f t="shared" si="64"/>
        <v>0</v>
      </c>
      <c r="AC118" s="50"/>
      <c r="AD118" s="50"/>
      <c r="AE118" s="50"/>
      <c r="AF118" s="50">
        <f t="shared" si="65"/>
        <v>0</v>
      </c>
      <c r="AG118" s="50"/>
      <c r="AH118" s="50">
        <f t="shared" si="66"/>
        <v>0</v>
      </c>
      <c r="AI118" s="50"/>
      <c r="AJ118" s="50">
        <f t="shared" si="67"/>
        <v>0</v>
      </c>
      <c r="AK118" s="50"/>
      <c r="AL118" s="50">
        <f t="shared" si="68"/>
        <v>0</v>
      </c>
      <c r="AM118" s="50"/>
      <c r="AN118" s="50">
        <f t="shared" si="69"/>
        <v>0</v>
      </c>
      <c r="AO118" s="50"/>
      <c r="AP118" s="50">
        <f t="shared" si="70"/>
        <v>0</v>
      </c>
      <c r="AQ118" s="50"/>
      <c r="AR118" s="50">
        <f t="shared" si="71"/>
        <v>0</v>
      </c>
      <c r="AS118" s="50"/>
      <c r="AT118" s="50">
        <f t="shared" si="72"/>
        <v>0</v>
      </c>
      <c r="AU118" s="260"/>
      <c r="AV118" s="27">
        <f t="shared" si="73"/>
        <v>0</v>
      </c>
    </row>
    <row r="119" spans="1:48" x14ac:dyDescent="0.2">
      <c r="A119" s="47" t="s">
        <v>283</v>
      </c>
      <c r="B119" s="48" t="s">
        <v>227</v>
      </c>
      <c r="C119" s="149">
        <v>4.3368038022621693</v>
      </c>
      <c r="D119" s="49">
        <f t="shared" si="82"/>
        <v>4.34</v>
      </c>
      <c r="E119" s="50"/>
      <c r="F119" s="50">
        <f t="shared" si="74"/>
        <v>0</v>
      </c>
      <c r="G119" s="50"/>
      <c r="H119" s="50">
        <f t="shared" si="75"/>
        <v>0</v>
      </c>
      <c r="I119" s="50"/>
      <c r="J119" s="50">
        <f t="shared" si="76"/>
        <v>0</v>
      </c>
      <c r="K119" s="50"/>
      <c r="L119" s="50">
        <f t="shared" si="77"/>
        <v>0</v>
      </c>
      <c r="M119" s="50"/>
      <c r="N119" s="50">
        <f t="shared" si="78"/>
        <v>0</v>
      </c>
      <c r="O119" s="50"/>
      <c r="P119" s="50"/>
      <c r="Q119" s="50"/>
      <c r="R119" s="50">
        <f t="shared" si="79"/>
        <v>0</v>
      </c>
      <c r="S119" s="50"/>
      <c r="T119" s="50">
        <f t="shared" si="80"/>
        <v>0</v>
      </c>
      <c r="U119" s="50"/>
      <c r="V119" s="50">
        <f t="shared" si="81"/>
        <v>0</v>
      </c>
      <c r="W119" s="50">
        <v>0</v>
      </c>
      <c r="X119" s="50">
        <f t="shared" si="62"/>
        <v>0</v>
      </c>
      <c r="Y119" s="50">
        <v>0</v>
      </c>
      <c r="Z119" s="50">
        <f t="shared" si="63"/>
        <v>0</v>
      </c>
      <c r="AA119" s="50"/>
      <c r="AB119" s="50">
        <f t="shared" si="64"/>
        <v>0</v>
      </c>
      <c r="AC119" s="50"/>
      <c r="AD119" s="50"/>
      <c r="AE119" s="50"/>
      <c r="AF119" s="50">
        <f t="shared" si="65"/>
        <v>0</v>
      </c>
      <c r="AG119" s="50"/>
      <c r="AH119" s="50">
        <f t="shared" si="66"/>
        <v>0</v>
      </c>
      <c r="AI119" s="50"/>
      <c r="AJ119" s="50">
        <f t="shared" si="67"/>
        <v>0</v>
      </c>
      <c r="AK119" s="50"/>
      <c r="AL119" s="50">
        <f t="shared" si="68"/>
        <v>0</v>
      </c>
      <c r="AM119" s="50"/>
      <c r="AN119" s="50">
        <f t="shared" si="69"/>
        <v>0</v>
      </c>
      <c r="AO119" s="50"/>
      <c r="AP119" s="50">
        <f t="shared" si="70"/>
        <v>0</v>
      </c>
      <c r="AQ119" s="50"/>
      <c r="AR119" s="50">
        <f t="shared" si="71"/>
        <v>0</v>
      </c>
      <c r="AS119" s="50"/>
      <c r="AT119" s="50">
        <f t="shared" si="72"/>
        <v>0</v>
      </c>
      <c r="AU119" s="260"/>
      <c r="AV119" s="260">
        <f t="shared" si="73"/>
        <v>0</v>
      </c>
    </row>
    <row r="120" spans="1:48" x14ac:dyDescent="0.2">
      <c r="A120" s="534" t="s">
        <v>284</v>
      </c>
      <c r="B120" s="48" t="s">
        <v>227</v>
      </c>
      <c r="C120" s="49">
        <v>2.52</v>
      </c>
      <c r="D120" s="49">
        <f t="shared" si="82"/>
        <v>2.52</v>
      </c>
      <c r="E120" s="50"/>
      <c r="F120" s="50">
        <f t="shared" si="74"/>
        <v>0</v>
      </c>
      <c r="G120" s="50"/>
      <c r="H120" s="50">
        <f t="shared" si="75"/>
        <v>0</v>
      </c>
      <c r="I120" s="50"/>
      <c r="J120" s="50">
        <f t="shared" si="76"/>
        <v>0</v>
      </c>
      <c r="K120" s="50"/>
      <c r="L120" s="50">
        <f t="shared" si="77"/>
        <v>0</v>
      </c>
      <c r="M120" s="50"/>
      <c r="N120" s="50">
        <f t="shared" si="78"/>
        <v>0</v>
      </c>
      <c r="O120" s="50"/>
      <c r="P120" s="50"/>
      <c r="Q120" s="50"/>
      <c r="R120" s="50">
        <f t="shared" si="79"/>
        <v>0</v>
      </c>
      <c r="S120" s="50"/>
      <c r="T120" s="50">
        <f t="shared" si="80"/>
        <v>0</v>
      </c>
      <c r="U120" s="50"/>
      <c r="V120" s="50">
        <f t="shared" si="81"/>
        <v>0</v>
      </c>
      <c r="W120" s="50"/>
      <c r="X120" s="50">
        <f t="shared" si="62"/>
        <v>0</v>
      </c>
      <c r="Y120" s="50"/>
      <c r="Z120" s="50">
        <f t="shared" si="63"/>
        <v>0</v>
      </c>
      <c r="AA120" s="50"/>
      <c r="AB120" s="50">
        <f t="shared" si="64"/>
        <v>0</v>
      </c>
      <c r="AC120" s="50"/>
      <c r="AD120" s="50"/>
      <c r="AE120" s="50"/>
      <c r="AF120" s="50">
        <f t="shared" si="65"/>
        <v>0</v>
      </c>
      <c r="AG120" s="50"/>
      <c r="AH120" s="50">
        <f t="shared" si="66"/>
        <v>0</v>
      </c>
      <c r="AI120" s="50"/>
      <c r="AJ120" s="50">
        <f t="shared" si="67"/>
        <v>0</v>
      </c>
      <c r="AK120" s="50"/>
      <c r="AL120" s="50">
        <f t="shared" si="68"/>
        <v>0</v>
      </c>
      <c r="AM120" s="50"/>
      <c r="AN120" s="50">
        <f t="shared" si="69"/>
        <v>0</v>
      </c>
      <c r="AO120" s="50"/>
      <c r="AP120" s="50">
        <f t="shared" si="70"/>
        <v>0</v>
      </c>
      <c r="AQ120" s="50"/>
      <c r="AR120" s="50">
        <f t="shared" si="71"/>
        <v>0</v>
      </c>
      <c r="AS120" s="50"/>
      <c r="AT120" s="50">
        <f t="shared" si="72"/>
        <v>0</v>
      </c>
      <c r="AU120" s="260"/>
      <c r="AV120" s="260">
        <f t="shared" si="73"/>
        <v>0</v>
      </c>
    </row>
    <row r="121" spans="1:48" x14ac:dyDescent="0.2">
      <c r="A121" s="466" t="s">
        <v>285</v>
      </c>
      <c r="B121" s="467"/>
      <c r="C121" s="49"/>
      <c r="D121" s="49">
        <f t="shared" si="82"/>
        <v>0</v>
      </c>
      <c r="E121" s="50"/>
      <c r="F121" s="50">
        <f t="shared" si="74"/>
        <v>0</v>
      </c>
      <c r="G121" s="50"/>
      <c r="H121" s="50">
        <f t="shared" si="75"/>
        <v>0</v>
      </c>
      <c r="I121" s="50"/>
      <c r="J121" s="50">
        <f t="shared" si="76"/>
        <v>0</v>
      </c>
      <c r="K121" s="50"/>
      <c r="L121" s="50">
        <f t="shared" si="77"/>
        <v>0</v>
      </c>
      <c r="M121" s="50"/>
      <c r="N121" s="50">
        <f t="shared" si="78"/>
        <v>0</v>
      </c>
      <c r="O121" s="50"/>
      <c r="P121" s="50"/>
      <c r="Q121" s="50"/>
      <c r="R121" s="50">
        <f t="shared" si="79"/>
        <v>0</v>
      </c>
      <c r="S121" s="50"/>
      <c r="T121" s="50">
        <f t="shared" si="80"/>
        <v>0</v>
      </c>
      <c r="U121" s="50"/>
      <c r="V121" s="50">
        <f t="shared" si="81"/>
        <v>0</v>
      </c>
      <c r="W121" s="50"/>
      <c r="X121" s="50">
        <f t="shared" si="62"/>
        <v>0</v>
      </c>
      <c r="Y121" s="50"/>
      <c r="Z121" s="50">
        <f t="shared" si="63"/>
        <v>0</v>
      </c>
      <c r="AA121" s="50"/>
      <c r="AB121" s="50">
        <f t="shared" si="64"/>
        <v>0</v>
      </c>
      <c r="AC121" s="50"/>
      <c r="AD121" s="50"/>
      <c r="AE121" s="50"/>
      <c r="AF121" s="50">
        <f t="shared" si="65"/>
        <v>0</v>
      </c>
      <c r="AG121" s="50"/>
      <c r="AH121" s="50">
        <f t="shared" si="66"/>
        <v>0</v>
      </c>
      <c r="AI121" s="50"/>
      <c r="AJ121" s="50">
        <f t="shared" si="67"/>
        <v>0</v>
      </c>
      <c r="AK121" s="50"/>
      <c r="AL121" s="50">
        <f t="shared" si="68"/>
        <v>0</v>
      </c>
      <c r="AM121" s="50"/>
      <c r="AN121" s="50">
        <f t="shared" si="69"/>
        <v>0</v>
      </c>
      <c r="AO121" s="50"/>
      <c r="AP121" s="50">
        <f t="shared" si="70"/>
        <v>0</v>
      </c>
      <c r="AQ121" s="50"/>
      <c r="AR121" s="50">
        <f t="shared" si="71"/>
        <v>0</v>
      </c>
      <c r="AS121" s="50"/>
      <c r="AT121" s="50">
        <f t="shared" si="72"/>
        <v>0</v>
      </c>
      <c r="AU121" s="260"/>
      <c r="AV121" s="27">
        <f t="shared" si="73"/>
        <v>0</v>
      </c>
    </row>
    <row r="122" spans="1:48" x14ac:dyDescent="0.2">
      <c r="A122" s="47" t="s">
        <v>385</v>
      </c>
      <c r="B122" s="48" t="s">
        <v>227</v>
      </c>
      <c r="C122" s="149">
        <v>6.4701818181818185</v>
      </c>
      <c r="D122" s="49">
        <f t="shared" si="82"/>
        <v>6.47</v>
      </c>
      <c r="E122" s="50"/>
      <c r="F122" s="50">
        <f t="shared" si="74"/>
        <v>0</v>
      </c>
      <c r="G122" s="50"/>
      <c r="H122" s="50">
        <f t="shared" si="75"/>
        <v>0</v>
      </c>
      <c r="I122" s="50"/>
      <c r="J122" s="50">
        <f t="shared" si="76"/>
        <v>0</v>
      </c>
      <c r="K122" s="50"/>
      <c r="L122" s="50">
        <f t="shared" si="77"/>
        <v>0</v>
      </c>
      <c r="M122" s="50"/>
      <c r="N122" s="50">
        <f t="shared" si="78"/>
        <v>0</v>
      </c>
      <c r="O122" s="50"/>
      <c r="P122" s="50"/>
      <c r="Q122" s="50">
        <v>1</v>
      </c>
      <c r="R122" s="50">
        <f t="shared" si="79"/>
        <v>6.47</v>
      </c>
      <c r="S122" s="50">
        <v>1</v>
      </c>
      <c r="T122" s="50">
        <f t="shared" si="80"/>
        <v>6.47</v>
      </c>
      <c r="U122" s="50">
        <v>1</v>
      </c>
      <c r="V122" s="50">
        <f t="shared" si="81"/>
        <v>6.47</v>
      </c>
      <c r="W122" s="50">
        <v>1</v>
      </c>
      <c r="X122" s="50">
        <f t="shared" si="62"/>
        <v>6.47</v>
      </c>
      <c r="Y122" s="50">
        <v>1</v>
      </c>
      <c r="Z122" s="50">
        <f t="shared" si="63"/>
        <v>6.47</v>
      </c>
      <c r="AA122" s="50"/>
      <c r="AB122" s="50">
        <f t="shared" si="64"/>
        <v>0</v>
      </c>
      <c r="AC122" s="50"/>
      <c r="AD122" s="50"/>
      <c r="AE122" s="50"/>
      <c r="AF122" s="50">
        <f t="shared" si="65"/>
        <v>0</v>
      </c>
      <c r="AG122" s="50"/>
      <c r="AH122" s="50">
        <f t="shared" si="66"/>
        <v>0</v>
      </c>
      <c r="AI122" s="50"/>
      <c r="AJ122" s="50">
        <f t="shared" si="67"/>
        <v>0</v>
      </c>
      <c r="AK122" s="50"/>
      <c r="AL122" s="50">
        <f t="shared" si="68"/>
        <v>0</v>
      </c>
      <c r="AM122" s="50"/>
      <c r="AN122" s="50">
        <f t="shared" si="69"/>
        <v>0</v>
      </c>
      <c r="AO122" s="50"/>
      <c r="AP122" s="50">
        <f t="shared" si="70"/>
        <v>0</v>
      </c>
      <c r="AQ122" s="50"/>
      <c r="AR122" s="50">
        <f t="shared" si="71"/>
        <v>0</v>
      </c>
      <c r="AS122" s="50"/>
      <c r="AT122" s="50">
        <f t="shared" si="72"/>
        <v>0</v>
      </c>
      <c r="AU122" s="260"/>
      <c r="AV122" s="27">
        <f t="shared" si="73"/>
        <v>0</v>
      </c>
    </row>
    <row r="123" spans="1:48" x14ac:dyDescent="0.2">
      <c r="A123" s="47" t="s">
        <v>1080</v>
      </c>
      <c r="B123" s="48" t="s">
        <v>227</v>
      </c>
      <c r="C123" s="149">
        <v>1.0133607899540564</v>
      </c>
      <c r="D123" s="49">
        <f t="shared" si="82"/>
        <v>1.01</v>
      </c>
      <c r="E123" s="50"/>
      <c r="F123" s="50">
        <f t="shared" si="74"/>
        <v>0</v>
      </c>
      <c r="G123" s="50"/>
      <c r="H123" s="50">
        <f t="shared" si="75"/>
        <v>0</v>
      </c>
      <c r="I123" s="50"/>
      <c r="J123" s="50">
        <f t="shared" si="76"/>
        <v>0</v>
      </c>
      <c r="K123" s="50"/>
      <c r="L123" s="50">
        <f t="shared" si="77"/>
        <v>0</v>
      </c>
      <c r="M123" s="50"/>
      <c r="N123" s="50">
        <f t="shared" si="78"/>
        <v>0</v>
      </c>
      <c r="O123" s="50"/>
      <c r="P123" s="50"/>
      <c r="Q123" s="50">
        <v>2</v>
      </c>
      <c r="R123" s="50">
        <f t="shared" si="79"/>
        <v>2.02</v>
      </c>
      <c r="S123" s="50">
        <v>1</v>
      </c>
      <c r="T123" s="50">
        <f t="shared" si="80"/>
        <v>1.01</v>
      </c>
      <c r="U123" s="50">
        <v>1</v>
      </c>
      <c r="V123" s="50">
        <f t="shared" si="81"/>
        <v>1.01</v>
      </c>
      <c r="W123" s="50">
        <v>1</v>
      </c>
      <c r="X123" s="50">
        <f t="shared" si="62"/>
        <v>1.01</v>
      </c>
      <c r="Y123" s="50">
        <v>1</v>
      </c>
      <c r="Z123" s="50">
        <f t="shared" si="63"/>
        <v>1.01</v>
      </c>
      <c r="AA123" s="50"/>
      <c r="AB123" s="50">
        <f t="shared" si="64"/>
        <v>0</v>
      </c>
      <c r="AC123" s="50"/>
      <c r="AD123" s="50"/>
      <c r="AE123" s="50"/>
      <c r="AF123" s="50">
        <f t="shared" si="65"/>
        <v>0</v>
      </c>
      <c r="AG123" s="50"/>
      <c r="AH123" s="50">
        <f t="shared" si="66"/>
        <v>0</v>
      </c>
      <c r="AI123" s="50"/>
      <c r="AJ123" s="50">
        <f t="shared" si="67"/>
        <v>0</v>
      </c>
      <c r="AK123" s="50"/>
      <c r="AL123" s="50">
        <f t="shared" si="68"/>
        <v>0</v>
      </c>
      <c r="AM123" s="50"/>
      <c r="AN123" s="50">
        <f t="shared" si="69"/>
        <v>0</v>
      </c>
      <c r="AO123" s="50"/>
      <c r="AP123" s="50">
        <f t="shared" si="70"/>
        <v>0</v>
      </c>
      <c r="AQ123" s="50"/>
      <c r="AR123" s="50">
        <f t="shared" si="71"/>
        <v>0</v>
      </c>
      <c r="AS123" s="50"/>
      <c r="AT123" s="50">
        <f t="shared" si="72"/>
        <v>0</v>
      </c>
      <c r="AU123" s="260"/>
      <c r="AV123" s="27">
        <f t="shared" si="73"/>
        <v>0</v>
      </c>
    </row>
    <row r="124" spans="1:48" x14ac:dyDescent="0.2">
      <c r="A124" s="534" t="s">
        <v>1081</v>
      </c>
      <c r="B124" s="48" t="s">
        <v>227</v>
      </c>
      <c r="C124" s="49">
        <v>28.32</v>
      </c>
      <c r="D124" s="49">
        <f t="shared" si="82"/>
        <v>28.32</v>
      </c>
      <c r="E124" s="50"/>
      <c r="F124" s="50">
        <f t="shared" si="74"/>
        <v>0</v>
      </c>
      <c r="G124" s="50"/>
      <c r="H124" s="50">
        <f t="shared" si="75"/>
        <v>0</v>
      </c>
      <c r="I124" s="50"/>
      <c r="J124" s="50">
        <f t="shared" si="76"/>
        <v>0</v>
      </c>
      <c r="K124" s="50"/>
      <c r="L124" s="50">
        <f t="shared" si="77"/>
        <v>0</v>
      </c>
      <c r="M124" s="50"/>
      <c r="N124" s="50">
        <f t="shared" si="78"/>
        <v>0</v>
      </c>
      <c r="O124" s="50"/>
      <c r="P124" s="50"/>
      <c r="Q124" s="50"/>
      <c r="R124" s="50">
        <f t="shared" si="79"/>
        <v>0</v>
      </c>
      <c r="S124" s="50"/>
      <c r="T124" s="50">
        <f t="shared" si="80"/>
        <v>0</v>
      </c>
      <c r="U124" s="50"/>
      <c r="V124" s="50">
        <f t="shared" si="81"/>
        <v>0</v>
      </c>
      <c r="W124" s="50">
        <v>1</v>
      </c>
      <c r="X124" s="50">
        <f t="shared" si="62"/>
        <v>28.32</v>
      </c>
      <c r="Y124" s="50">
        <v>1</v>
      </c>
      <c r="Z124" s="50">
        <f t="shared" si="63"/>
        <v>28.32</v>
      </c>
      <c r="AA124" s="50"/>
      <c r="AB124" s="50">
        <f t="shared" si="64"/>
        <v>0</v>
      </c>
      <c r="AC124" s="50"/>
      <c r="AD124" s="50"/>
      <c r="AE124" s="50"/>
      <c r="AF124" s="50">
        <f t="shared" si="65"/>
        <v>0</v>
      </c>
      <c r="AG124" s="50"/>
      <c r="AH124" s="50">
        <f t="shared" si="66"/>
        <v>0</v>
      </c>
      <c r="AI124" s="50"/>
      <c r="AJ124" s="50">
        <f t="shared" si="67"/>
        <v>0</v>
      </c>
      <c r="AK124" s="50"/>
      <c r="AL124" s="50">
        <f t="shared" si="68"/>
        <v>0</v>
      </c>
      <c r="AM124" s="50"/>
      <c r="AN124" s="50">
        <f t="shared" si="69"/>
        <v>0</v>
      </c>
      <c r="AO124" s="50"/>
      <c r="AP124" s="50">
        <f t="shared" si="70"/>
        <v>0</v>
      </c>
      <c r="AQ124" s="50"/>
      <c r="AR124" s="50">
        <f t="shared" si="71"/>
        <v>0</v>
      </c>
      <c r="AS124" s="50"/>
      <c r="AT124" s="50">
        <f t="shared" si="72"/>
        <v>0</v>
      </c>
      <c r="AU124" s="260"/>
      <c r="AV124" s="27">
        <f t="shared" si="73"/>
        <v>0</v>
      </c>
    </row>
    <row r="125" spans="1:48" x14ac:dyDescent="0.2">
      <c r="A125" s="466" t="s">
        <v>288</v>
      </c>
      <c r="B125" s="467"/>
      <c r="C125" s="49"/>
      <c r="D125" s="49">
        <f t="shared" si="82"/>
        <v>0</v>
      </c>
      <c r="E125" s="50"/>
      <c r="F125" s="50">
        <f t="shared" si="74"/>
        <v>0</v>
      </c>
      <c r="G125" s="50"/>
      <c r="H125" s="50">
        <f t="shared" si="75"/>
        <v>0</v>
      </c>
      <c r="I125" s="50"/>
      <c r="J125" s="50">
        <f t="shared" si="76"/>
        <v>0</v>
      </c>
      <c r="K125" s="50"/>
      <c r="L125" s="50">
        <f t="shared" si="77"/>
        <v>0</v>
      </c>
      <c r="M125" s="50"/>
      <c r="N125" s="50">
        <f t="shared" si="78"/>
        <v>0</v>
      </c>
      <c r="O125" s="50"/>
      <c r="P125" s="50"/>
      <c r="Q125" s="50"/>
      <c r="R125" s="50">
        <f t="shared" si="79"/>
        <v>0</v>
      </c>
      <c r="S125" s="50"/>
      <c r="T125" s="50">
        <f t="shared" si="80"/>
        <v>0</v>
      </c>
      <c r="U125" s="50"/>
      <c r="V125" s="50">
        <f t="shared" si="81"/>
        <v>0</v>
      </c>
      <c r="W125" s="50"/>
      <c r="X125" s="50">
        <f t="shared" si="62"/>
        <v>0</v>
      </c>
      <c r="Y125" s="50"/>
      <c r="Z125" s="50">
        <f t="shared" si="63"/>
        <v>0</v>
      </c>
      <c r="AA125" s="50"/>
      <c r="AB125" s="50">
        <f t="shared" si="64"/>
        <v>0</v>
      </c>
      <c r="AC125" s="50"/>
      <c r="AD125" s="50"/>
      <c r="AE125" s="50"/>
      <c r="AF125" s="50">
        <f t="shared" si="65"/>
        <v>0</v>
      </c>
      <c r="AG125" s="50"/>
      <c r="AH125" s="50">
        <f t="shared" si="66"/>
        <v>0</v>
      </c>
      <c r="AI125" s="50"/>
      <c r="AJ125" s="50">
        <f t="shared" si="67"/>
        <v>0</v>
      </c>
      <c r="AK125" s="50"/>
      <c r="AL125" s="50">
        <f t="shared" si="68"/>
        <v>0</v>
      </c>
      <c r="AM125" s="50"/>
      <c r="AN125" s="50">
        <f t="shared" si="69"/>
        <v>0</v>
      </c>
      <c r="AO125" s="50"/>
      <c r="AP125" s="50">
        <f t="shared" si="70"/>
        <v>0</v>
      </c>
      <c r="AQ125" s="50"/>
      <c r="AR125" s="50">
        <f t="shared" si="71"/>
        <v>0</v>
      </c>
      <c r="AS125" s="50"/>
      <c r="AT125" s="50">
        <f t="shared" si="72"/>
        <v>0</v>
      </c>
      <c r="AU125" s="260"/>
      <c r="AV125" s="27">
        <f t="shared" si="73"/>
        <v>0</v>
      </c>
    </row>
    <row r="126" spans="1:48" x14ac:dyDescent="0.2">
      <c r="A126" s="47" t="s">
        <v>289</v>
      </c>
      <c r="B126" s="48" t="s">
        <v>227</v>
      </c>
      <c r="C126" s="149">
        <v>21.343333168184689</v>
      </c>
      <c r="D126" s="49">
        <f t="shared" si="82"/>
        <v>21.34</v>
      </c>
      <c r="E126" s="50"/>
      <c r="F126" s="50">
        <f t="shared" si="74"/>
        <v>0</v>
      </c>
      <c r="G126" s="50"/>
      <c r="H126" s="50">
        <f t="shared" si="75"/>
        <v>0</v>
      </c>
      <c r="I126" s="50"/>
      <c r="J126" s="50">
        <f t="shared" si="76"/>
        <v>0</v>
      </c>
      <c r="K126" s="50"/>
      <c r="L126" s="50">
        <f t="shared" si="77"/>
        <v>0</v>
      </c>
      <c r="M126" s="50"/>
      <c r="N126" s="50">
        <f t="shared" si="78"/>
        <v>0</v>
      </c>
      <c r="O126" s="50"/>
      <c r="P126" s="50"/>
      <c r="Q126" s="50"/>
      <c r="R126" s="50">
        <f t="shared" si="79"/>
        <v>0</v>
      </c>
      <c r="S126" s="50"/>
      <c r="T126" s="50">
        <f t="shared" si="80"/>
        <v>0</v>
      </c>
      <c r="U126" s="50"/>
      <c r="V126" s="50">
        <f t="shared" si="81"/>
        <v>0</v>
      </c>
      <c r="W126" s="50"/>
      <c r="X126" s="50">
        <f t="shared" si="62"/>
        <v>0</v>
      </c>
      <c r="Y126" s="50"/>
      <c r="Z126" s="50">
        <f t="shared" si="63"/>
        <v>0</v>
      </c>
      <c r="AA126" s="50"/>
      <c r="AB126" s="50">
        <f t="shared" si="64"/>
        <v>0</v>
      </c>
      <c r="AC126" s="50"/>
      <c r="AD126" s="50"/>
      <c r="AE126" s="50"/>
      <c r="AF126" s="50">
        <f t="shared" si="65"/>
        <v>0</v>
      </c>
      <c r="AG126" s="50"/>
      <c r="AH126" s="50">
        <f t="shared" si="66"/>
        <v>0</v>
      </c>
      <c r="AI126" s="50"/>
      <c r="AJ126" s="50">
        <f t="shared" si="67"/>
        <v>0</v>
      </c>
      <c r="AK126" s="50"/>
      <c r="AL126" s="50">
        <f t="shared" si="68"/>
        <v>0</v>
      </c>
      <c r="AM126" s="50"/>
      <c r="AN126" s="50">
        <f t="shared" si="69"/>
        <v>0</v>
      </c>
      <c r="AO126" s="50"/>
      <c r="AP126" s="50">
        <f t="shared" si="70"/>
        <v>0</v>
      </c>
      <c r="AQ126" s="50"/>
      <c r="AR126" s="50">
        <f t="shared" si="71"/>
        <v>0</v>
      </c>
      <c r="AS126" s="50"/>
      <c r="AT126" s="50">
        <f t="shared" si="72"/>
        <v>0</v>
      </c>
      <c r="AU126" s="260"/>
      <c r="AV126" s="260">
        <f t="shared" si="73"/>
        <v>0</v>
      </c>
    </row>
    <row r="127" spans="1:48" x14ac:dyDescent="0.2">
      <c r="A127" s="47" t="s">
        <v>290</v>
      </c>
      <c r="B127" s="48" t="s">
        <v>227</v>
      </c>
      <c r="C127" s="149">
        <v>8.1746770675689984</v>
      </c>
      <c r="D127" s="49">
        <f t="shared" si="82"/>
        <v>8.17</v>
      </c>
      <c r="E127" s="50"/>
      <c r="F127" s="50">
        <f t="shared" si="74"/>
        <v>0</v>
      </c>
      <c r="G127" s="50"/>
      <c r="H127" s="50">
        <f t="shared" si="75"/>
        <v>0</v>
      </c>
      <c r="I127" s="50"/>
      <c r="J127" s="50">
        <f t="shared" si="76"/>
        <v>0</v>
      </c>
      <c r="K127" s="50"/>
      <c r="L127" s="50">
        <f t="shared" si="77"/>
        <v>0</v>
      </c>
      <c r="M127" s="50"/>
      <c r="N127" s="50">
        <f t="shared" si="78"/>
        <v>0</v>
      </c>
      <c r="O127" s="50"/>
      <c r="P127" s="50"/>
      <c r="Q127" s="50"/>
      <c r="R127" s="50">
        <f t="shared" si="79"/>
        <v>0</v>
      </c>
      <c r="S127" s="50"/>
      <c r="T127" s="50">
        <f t="shared" si="80"/>
        <v>0</v>
      </c>
      <c r="U127" s="50"/>
      <c r="V127" s="50">
        <f t="shared" si="81"/>
        <v>0</v>
      </c>
      <c r="W127" s="50"/>
      <c r="X127" s="50">
        <f t="shared" si="62"/>
        <v>0</v>
      </c>
      <c r="Y127" s="50"/>
      <c r="Z127" s="50">
        <f t="shared" si="63"/>
        <v>0</v>
      </c>
      <c r="AA127" s="50"/>
      <c r="AB127" s="50">
        <f t="shared" si="64"/>
        <v>0</v>
      </c>
      <c r="AC127" s="50"/>
      <c r="AD127" s="50"/>
      <c r="AE127" s="50"/>
      <c r="AF127" s="50">
        <f t="shared" si="65"/>
        <v>0</v>
      </c>
      <c r="AG127" s="50"/>
      <c r="AH127" s="50">
        <f t="shared" si="66"/>
        <v>0</v>
      </c>
      <c r="AI127" s="50"/>
      <c r="AJ127" s="50">
        <f t="shared" si="67"/>
        <v>0</v>
      </c>
      <c r="AK127" s="50"/>
      <c r="AL127" s="50">
        <f t="shared" si="68"/>
        <v>0</v>
      </c>
      <c r="AM127" s="50"/>
      <c r="AN127" s="50">
        <f t="shared" si="69"/>
        <v>0</v>
      </c>
      <c r="AO127" s="50"/>
      <c r="AP127" s="50">
        <f t="shared" si="70"/>
        <v>0</v>
      </c>
      <c r="AQ127" s="50"/>
      <c r="AR127" s="50">
        <f t="shared" si="71"/>
        <v>0</v>
      </c>
      <c r="AS127" s="50"/>
      <c r="AT127" s="50">
        <f t="shared" si="72"/>
        <v>0</v>
      </c>
      <c r="AU127" s="260"/>
      <c r="AV127" s="260">
        <f t="shared" si="73"/>
        <v>0</v>
      </c>
    </row>
    <row r="128" spans="1:48" x14ac:dyDescent="0.2">
      <c r="A128" s="534" t="s">
        <v>390</v>
      </c>
      <c r="B128" s="48" t="s">
        <v>227</v>
      </c>
      <c r="C128" s="49">
        <v>9.7100000000000009</v>
      </c>
      <c r="D128" s="49">
        <f t="shared" si="82"/>
        <v>9.7100000000000009</v>
      </c>
      <c r="E128" s="50"/>
      <c r="F128" s="50">
        <f t="shared" si="74"/>
        <v>0</v>
      </c>
      <c r="G128" s="50"/>
      <c r="H128" s="50">
        <f t="shared" si="75"/>
        <v>0</v>
      </c>
      <c r="I128" s="50"/>
      <c r="J128" s="50">
        <f t="shared" si="76"/>
        <v>0</v>
      </c>
      <c r="K128" s="50"/>
      <c r="L128" s="50">
        <f t="shared" si="77"/>
        <v>0</v>
      </c>
      <c r="M128" s="50"/>
      <c r="N128" s="50">
        <f t="shared" si="78"/>
        <v>0</v>
      </c>
      <c r="O128" s="50"/>
      <c r="P128" s="50"/>
      <c r="Q128" s="50"/>
      <c r="R128" s="50">
        <f t="shared" si="79"/>
        <v>0</v>
      </c>
      <c r="S128" s="50"/>
      <c r="T128" s="50">
        <f t="shared" si="80"/>
        <v>0</v>
      </c>
      <c r="U128" s="50"/>
      <c r="V128" s="50">
        <f t="shared" si="81"/>
        <v>0</v>
      </c>
      <c r="W128" s="50"/>
      <c r="X128" s="50">
        <f t="shared" si="62"/>
        <v>0</v>
      </c>
      <c r="Y128" s="50"/>
      <c r="Z128" s="50">
        <f t="shared" si="63"/>
        <v>0</v>
      </c>
      <c r="AA128" s="50"/>
      <c r="AB128" s="50">
        <f t="shared" si="64"/>
        <v>0</v>
      </c>
      <c r="AC128" s="50"/>
      <c r="AD128" s="50"/>
      <c r="AE128" s="50"/>
      <c r="AF128" s="50">
        <f t="shared" si="65"/>
        <v>0</v>
      </c>
      <c r="AG128" s="50"/>
      <c r="AH128" s="50">
        <f t="shared" si="66"/>
        <v>0</v>
      </c>
      <c r="AI128" s="50"/>
      <c r="AJ128" s="50">
        <f t="shared" si="67"/>
        <v>0</v>
      </c>
      <c r="AK128" s="50"/>
      <c r="AL128" s="50">
        <f t="shared" si="68"/>
        <v>0</v>
      </c>
      <c r="AM128" s="50"/>
      <c r="AN128" s="50">
        <f t="shared" si="69"/>
        <v>0</v>
      </c>
      <c r="AO128" s="50"/>
      <c r="AP128" s="50">
        <f t="shared" si="70"/>
        <v>0</v>
      </c>
      <c r="AQ128" s="50"/>
      <c r="AR128" s="50">
        <f t="shared" si="71"/>
        <v>0</v>
      </c>
      <c r="AS128" s="50"/>
      <c r="AT128" s="50">
        <f t="shared" si="72"/>
        <v>0</v>
      </c>
      <c r="AU128" s="260"/>
      <c r="AV128" s="260">
        <f t="shared" si="73"/>
        <v>0</v>
      </c>
    </row>
    <row r="129" spans="1:48" x14ac:dyDescent="0.2">
      <c r="A129" s="534" t="s">
        <v>389</v>
      </c>
      <c r="B129" s="48" t="s">
        <v>227</v>
      </c>
      <c r="C129" s="49">
        <v>14.86</v>
      </c>
      <c r="D129" s="49">
        <f t="shared" si="82"/>
        <v>14.86</v>
      </c>
      <c r="E129" s="50"/>
      <c r="F129" s="50">
        <f t="shared" si="74"/>
        <v>0</v>
      </c>
      <c r="G129" s="50"/>
      <c r="H129" s="50">
        <f t="shared" si="75"/>
        <v>0</v>
      </c>
      <c r="I129" s="50"/>
      <c r="J129" s="50">
        <f t="shared" si="76"/>
        <v>0</v>
      </c>
      <c r="K129" s="50"/>
      <c r="L129" s="50">
        <f t="shared" si="77"/>
        <v>0</v>
      </c>
      <c r="M129" s="50"/>
      <c r="N129" s="50">
        <f t="shared" si="78"/>
        <v>0</v>
      </c>
      <c r="O129" s="50"/>
      <c r="P129" s="50"/>
      <c r="Q129" s="50"/>
      <c r="R129" s="50">
        <f t="shared" si="79"/>
        <v>0</v>
      </c>
      <c r="S129" s="50"/>
      <c r="T129" s="50">
        <f t="shared" si="80"/>
        <v>0</v>
      </c>
      <c r="U129" s="50"/>
      <c r="V129" s="50">
        <f t="shared" si="81"/>
        <v>0</v>
      </c>
      <c r="W129" s="50"/>
      <c r="X129" s="50">
        <f t="shared" ref="X129:X160" si="83">+D129*W129</f>
        <v>0</v>
      </c>
      <c r="Y129" s="50"/>
      <c r="Z129" s="50">
        <f t="shared" ref="Z129:Z160" si="84">+D129*Y129</f>
        <v>0</v>
      </c>
      <c r="AA129" s="50"/>
      <c r="AB129" s="50">
        <f t="shared" ref="AB129:AB160" si="85">+D129*AA129</f>
        <v>0</v>
      </c>
      <c r="AC129" s="50"/>
      <c r="AD129" s="50"/>
      <c r="AE129" s="50"/>
      <c r="AF129" s="50">
        <f t="shared" ref="AF129:AF160" si="86">+D129*AE129</f>
        <v>0</v>
      </c>
      <c r="AG129" s="50"/>
      <c r="AH129" s="50">
        <f t="shared" ref="AH129:AH160" si="87">+D129*AG129</f>
        <v>0</v>
      </c>
      <c r="AI129" s="50"/>
      <c r="AJ129" s="50">
        <f t="shared" ref="AJ129:AJ160" si="88">+D129*AI129</f>
        <v>0</v>
      </c>
      <c r="AK129" s="50"/>
      <c r="AL129" s="50">
        <f t="shared" ref="AL129:AL160" si="89">D129*AK129</f>
        <v>0</v>
      </c>
      <c r="AM129" s="50"/>
      <c r="AN129" s="50">
        <f t="shared" ref="AN129:AN160" si="90">D129*AM129</f>
        <v>0</v>
      </c>
      <c r="AO129" s="50"/>
      <c r="AP129" s="50">
        <f t="shared" ref="AP129:AP160" si="91">+D129*AO129</f>
        <v>0</v>
      </c>
      <c r="AQ129" s="50"/>
      <c r="AR129" s="50">
        <f t="shared" ref="AR129:AR160" si="92">+AQ129*D129</f>
        <v>0</v>
      </c>
      <c r="AS129" s="50"/>
      <c r="AT129" s="50">
        <f t="shared" ref="AT129:AT160" si="93">+D129*AS129</f>
        <v>0</v>
      </c>
      <c r="AU129" s="260"/>
      <c r="AV129" s="260">
        <f t="shared" ref="AV129:AV160" si="94">D129*AU129</f>
        <v>0</v>
      </c>
    </row>
    <row r="130" spans="1:48" x14ac:dyDescent="0.2">
      <c r="A130" s="47" t="s">
        <v>291</v>
      </c>
      <c r="B130" s="48" t="s">
        <v>227</v>
      </c>
      <c r="C130" s="149">
        <v>0.79439985076143305</v>
      </c>
      <c r="D130" s="49">
        <f t="shared" si="82"/>
        <v>0.79</v>
      </c>
      <c r="E130" s="50"/>
      <c r="F130" s="50">
        <f t="shared" si="74"/>
        <v>0</v>
      </c>
      <c r="G130" s="50"/>
      <c r="H130" s="50">
        <f t="shared" si="75"/>
        <v>0</v>
      </c>
      <c r="I130" s="50"/>
      <c r="J130" s="50">
        <f t="shared" si="76"/>
        <v>0</v>
      </c>
      <c r="K130" s="50"/>
      <c r="L130" s="50">
        <f t="shared" si="77"/>
        <v>0</v>
      </c>
      <c r="M130" s="50"/>
      <c r="N130" s="50">
        <f t="shared" si="78"/>
        <v>0</v>
      </c>
      <c r="O130" s="50"/>
      <c r="P130" s="50"/>
      <c r="Q130" s="50"/>
      <c r="R130" s="50">
        <f t="shared" si="79"/>
        <v>0</v>
      </c>
      <c r="S130" s="50"/>
      <c r="T130" s="50">
        <f t="shared" si="80"/>
        <v>0</v>
      </c>
      <c r="U130" s="50"/>
      <c r="V130" s="50">
        <f t="shared" si="81"/>
        <v>0</v>
      </c>
      <c r="W130" s="50"/>
      <c r="X130" s="50">
        <f t="shared" si="83"/>
        <v>0</v>
      </c>
      <c r="Y130" s="50"/>
      <c r="Z130" s="50">
        <f t="shared" si="84"/>
        <v>0</v>
      </c>
      <c r="AA130" s="50"/>
      <c r="AB130" s="50">
        <f t="shared" si="85"/>
        <v>0</v>
      </c>
      <c r="AC130" s="50"/>
      <c r="AD130" s="479">
        <f>D130*AC130</f>
        <v>0</v>
      </c>
      <c r="AE130" s="50"/>
      <c r="AF130" s="50">
        <f t="shared" si="86"/>
        <v>0</v>
      </c>
      <c r="AG130" s="50"/>
      <c r="AH130" s="50">
        <f t="shared" si="87"/>
        <v>0</v>
      </c>
      <c r="AI130" s="50"/>
      <c r="AJ130" s="50">
        <f t="shared" si="88"/>
        <v>0</v>
      </c>
      <c r="AK130" s="50"/>
      <c r="AL130" s="50">
        <f t="shared" si="89"/>
        <v>0</v>
      </c>
      <c r="AM130" s="50"/>
      <c r="AN130" s="50">
        <f t="shared" si="90"/>
        <v>0</v>
      </c>
      <c r="AO130" s="50"/>
      <c r="AP130" s="50">
        <f t="shared" si="91"/>
        <v>0</v>
      </c>
      <c r="AQ130" s="50">
        <v>2</v>
      </c>
      <c r="AR130" s="479">
        <f t="shared" si="92"/>
        <v>1.58</v>
      </c>
      <c r="AS130" s="50"/>
      <c r="AT130" s="50">
        <f t="shared" si="93"/>
        <v>0</v>
      </c>
      <c r="AU130" s="260"/>
      <c r="AV130" s="27">
        <f t="shared" si="94"/>
        <v>0</v>
      </c>
    </row>
    <row r="131" spans="1:48" x14ac:dyDescent="0.2">
      <c r="A131" s="47" t="s">
        <v>292</v>
      </c>
      <c r="B131" s="48" t="s">
        <v>227</v>
      </c>
      <c r="C131" s="149">
        <v>1.0729937158463752</v>
      </c>
      <c r="D131" s="49">
        <f t="shared" si="82"/>
        <v>1.07</v>
      </c>
      <c r="E131" s="50"/>
      <c r="F131" s="50">
        <f t="shared" si="74"/>
        <v>0</v>
      </c>
      <c r="G131" s="50"/>
      <c r="H131" s="50">
        <f t="shared" si="75"/>
        <v>0</v>
      </c>
      <c r="I131" s="50"/>
      <c r="J131" s="50">
        <f t="shared" si="76"/>
        <v>0</v>
      </c>
      <c r="K131" s="50"/>
      <c r="L131" s="50">
        <f t="shared" si="77"/>
        <v>0</v>
      </c>
      <c r="M131" s="50"/>
      <c r="N131" s="50">
        <f t="shared" si="78"/>
        <v>0</v>
      </c>
      <c r="O131" s="50"/>
      <c r="P131" s="50"/>
      <c r="Q131" s="50"/>
      <c r="R131" s="50">
        <f t="shared" si="79"/>
        <v>0</v>
      </c>
      <c r="S131" s="50"/>
      <c r="T131" s="50">
        <f t="shared" si="80"/>
        <v>0</v>
      </c>
      <c r="U131" s="50"/>
      <c r="V131" s="50">
        <f t="shared" si="81"/>
        <v>0</v>
      </c>
      <c r="W131" s="50"/>
      <c r="X131" s="50">
        <f t="shared" si="83"/>
        <v>0</v>
      </c>
      <c r="Y131" s="50"/>
      <c r="Z131" s="50">
        <f t="shared" si="84"/>
        <v>0</v>
      </c>
      <c r="AA131" s="50"/>
      <c r="AB131" s="50">
        <f t="shared" si="85"/>
        <v>0</v>
      </c>
      <c r="AC131" s="50"/>
      <c r="AD131" s="50"/>
      <c r="AE131" s="50"/>
      <c r="AF131" s="50">
        <f t="shared" si="86"/>
        <v>0</v>
      </c>
      <c r="AG131" s="50"/>
      <c r="AH131" s="50">
        <f t="shared" si="87"/>
        <v>0</v>
      </c>
      <c r="AI131" s="50"/>
      <c r="AJ131" s="50">
        <f t="shared" si="88"/>
        <v>0</v>
      </c>
      <c r="AK131" s="50"/>
      <c r="AL131" s="50">
        <f t="shared" si="89"/>
        <v>0</v>
      </c>
      <c r="AM131" s="50"/>
      <c r="AN131" s="50">
        <f t="shared" si="90"/>
        <v>0</v>
      </c>
      <c r="AO131" s="50"/>
      <c r="AP131" s="50">
        <f t="shared" si="91"/>
        <v>0</v>
      </c>
      <c r="AQ131" s="50"/>
      <c r="AR131" s="50">
        <f t="shared" si="92"/>
        <v>0</v>
      </c>
      <c r="AS131" s="50"/>
      <c r="AT131" s="50">
        <f t="shared" si="93"/>
        <v>0</v>
      </c>
      <c r="AU131" s="260"/>
      <c r="AV131" s="260">
        <f t="shared" si="94"/>
        <v>0</v>
      </c>
    </row>
    <row r="132" spans="1:48" x14ac:dyDescent="0.2">
      <c r="A132" s="47" t="s">
        <v>1084</v>
      </c>
      <c r="B132" s="48" t="s">
        <v>227</v>
      </c>
      <c r="C132" s="149">
        <v>4.5132922434074327</v>
      </c>
      <c r="D132" s="49">
        <f t="shared" si="82"/>
        <v>4.51</v>
      </c>
      <c r="E132" s="50"/>
      <c r="F132" s="50">
        <f t="shared" si="74"/>
        <v>0</v>
      </c>
      <c r="G132" s="50"/>
      <c r="H132" s="50">
        <f t="shared" si="75"/>
        <v>0</v>
      </c>
      <c r="I132" s="50"/>
      <c r="J132" s="50">
        <f t="shared" si="76"/>
        <v>0</v>
      </c>
      <c r="K132" s="50"/>
      <c r="L132" s="50">
        <f t="shared" si="77"/>
        <v>0</v>
      </c>
      <c r="M132" s="50"/>
      <c r="N132" s="50">
        <f t="shared" si="78"/>
        <v>0</v>
      </c>
      <c r="O132" s="50"/>
      <c r="P132" s="50"/>
      <c r="Q132" s="50"/>
      <c r="R132" s="50">
        <f t="shared" si="79"/>
        <v>0</v>
      </c>
      <c r="S132" s="50"/>
      <c r="T132" s="50">
        <f t="shared" si="80"/>
        <v>0</v>
      </c>
      <c r="U132" s="50"/>
      <c r="V132" s="50">
        <f t="shared" si="81"/>
        <v>0</v>
      </c>
      <c r="W132" s="50"/>
      <c r="X132" s="50">
        <f t="shared" si="83"/>
        <v>0</v>
      </c>
      <c r="Y132" s="50"/>
      <c r="Z132" s="50">
        <f t="shared" si="84"/>
        <v>0</v>
      </c>
      <c r="AA132" s="50"/>
      <c r="AB132" s="50">
        <f t="shared" si="85"/>
        <v>0</v>
      </c>
      <c r="AC132" s="50"/>
      <c r="AD132" s="50"/>
      <c r="AE132" s="50"/>
      <c r="AF132" s="50">
        <f t="shared" si="86"/>
        <v>0</v>
      </c>
      <c r="AG132" s="50"/>
      <c r="AH132" s="50">
        <f t="shared" si="87"/>
        <v>0</v>
      </c>
      <c r="AI132" s="50">
        <v>1</v>
      </c>
      <c r="AJ132" s="50">
        <f t="shared" si="88"/>
        <v>4.51</v>
      </c>
      <c r="AK132" s="50"/>
      <c r="AL132" s="50">
        <f t="shared" si="89"/>
        <v>0</v>
      </c>
      <c r="AM132" s="50">
        <v>2</v>
      </c>
      <c r="AN132" s="50">
        <f t="shared" si="90"/>
        <v>9.02</v>
      </c>
      <c r="AO132" s="50"/>
      <c r="AP132" s="50">
        <f t="shared" si="91"/>
        <v>0</v>
      </c>
      <c r="AQ132" s="50"/>
      <c r="AR132" s="50">
        <f t="shared" si="92"/>
        <v>0</v>
      </c>
      <c r="AS132" s="50"/>
      <c r="AT132" s="50">
        <f t="shared" si="93"/>
        <v>0</v>
      </c>
      <c r="AU132" s="260"/>
      <c r="AV132" s="27">
        <f t="shared" si="94"/>
        <v>0</v>
      </c>
    </row>
    <row r="133" spans="1:48" x14ac:dyDescent="0.2">
      <c r="A133" s="534" t="s">
        <v>294</v>
      </c>
      <c r="B133" s="48" t="s">
        <v>227</v>
      </c>
      <c r="C133" s="49">
        <v>4.7300000000000004</v>
      </c>
      <c r="D133" s="49">
        <f t="shared" si="82"/>
        <v>4.7300000000000004</v>
      </c>
      <c r="E133" s="50"/>
      <c r="F133" s="50">
        <f t="shared" si="74"/>
        <v>0</v>
      </c>
      <c r="G133" s="50"/>
      <c r="H133" s="50">
        <f t="shared" si="75"/>
        <v>0</v>
      </c>
      <c r="I133" s="50"/>
      <c r="J133" s="50">
        <f t="shared" si="76"/>
        <v>0</v>
      </c>
      <c r="K133" s="50"/>
      <c r="L133" s="50">
        <f t="shared" si="77"/>
        <v>0</v>
      </c>
      <c r="M133" s="50"/>
      <c r="N133" s="50">
        <f t="shared" si="78"/>
        <v>0</v>
      </c>
      <c r="O133" s="50"/>
      <c r="P133" s="50"/>
      <c r="Q133" s="50"/>
      <c r="R133" s="50">
        <f t="shared" si="79"/>
        <v>0</v>
      </c>
      <c r="S133" s="50"/>
      <c r="T133" s="50">
        <f t="shared" si="80"/>
        <v>0</v>
      </c>
      <c r="U133" s="50"/>
      <c r="V133" s="50">
        <f t="shared" si="81"/>
        <v>0</v>
      </c>
      <c r="W133" s="50"/>
      <c r="X133" s="50">
        <f t="shared" si="83"/>
        <v>0</v>
      </c>
      <c r="Y133" s="50"/>
      <c r="Z133" s="50">
        <f t="shared" si="84"/>
        <v>0</v>
      </c>
      <c r="AA133" s="50"/>
      <c r="AB133" s="50">
        <f t="shared" si="85"/>
        <v>0</v>
      </c>
      <c r="AC133" s="50"/>
      <c r="AD133" s="50"/>
      <c r="AE133" s="50"/>
      <c r="AF133" s="50">
        <f t="shared" si="86"/>
        <v>0</v>
      </c>
      <c r="AG133" s="50"/>
      <c r="AH133" s="50">
        <f t="shared" si="87"/>
        <v>0</v>
      </c>
      <c r="AI133" s="50"/>
      <c r="AJ133" s="50">
        <f t="shared" si="88"/>
        <v>0</v>
      </c>
      <c r="AK133" s="50"/>
      <c r="AL133" s="50">
        <f t="shared" si="89"/>
        <v>0</v>
      </c>
      <c r="AM133" s="50"/>
      <c r="AN133" s="50">
        <f t="shared" si="90"/>
        <v>0</v>
      </c>
      <c r="AO133" s="50"/>
      <c r="AP133" s="50">
        <f t="shared" si="91"/>
        <v>0</v>
      </c>
      <c r="AQ133" s="50"/>
      <c r="AR133" s="50">
        <f t="shared" si="92"/>
        <v>0</v>
      </c>
      <c r="AS133" s="50"/>
      <c r="AT133" s="50">
        <f t="shared" si="93"/>
        <v>0</v>
      </c>
      <c r="AU133" s="260"/>
      <c r="AV133" s="260">
        <f t="shared" si="94"/>
        <v>0</v>
      </c>
    </row>
    <row r="134" spans="1:48" x14ac:dyDescent="0.2">
      <c r="A134" s="534" t="s">
        <v>295</v>
      </c>
      <c r="B134" s="48" t="s">
        <v>227</v>
      </c>
      <c r="C134" s="49">
        <v>6.3</v>
      </c>
      <c r="D134" s="49">
        <f t="shared" si="82"/>
        <v>6.3</v>
      </c>
      <c r="E134" s="50"/>
      <c r="F134" s="50">
        <f t="shared" si="74"/>
        <v>0</v>
      </c>
      <c r="G134" s="50"/>
      <c r="H134" s="50">
        <f t="shared" si="75"/>
        <v>0</v>
      </c>
      <c r="I134" s="50"/>
      <c r="J134" s="50">
        <f t="shared" si="76"/>
        <v>0</v>
      </c>
      <c r="K134" s="50"/>
      <c r="L134" s="50">
        <f t="shared" si="77"/>
        <v>0</v>
      </c>
      <c r="M134" s="50"/>
      <c r="N134" s="50">
        <f t="shared" si="78"/>
        <v>0</v>
      </c>
      <c r="O134" s="50"/>
      <c r="P134" s="50"/>
      <c r="Q134" s="50"/>
      <c r="R134" s="50">
        <f t="shared" si="79"/>
        <v>0</v>
      </c>
      <c r="S134" s="50"/>
      <c r="T134" s="50">
        <f t="shared" si="80"/>
        <v>0</v>
      </c>
      <c r="U134" s="50"/>
      <c r="V134" s="50">
        <f t="shared" si="81"/>
        <v>0</v>
      </c>
      <c r="W134" s="50"/>
      <c r="X134" s="50">
        <f t="shared" si="83"/>
        <v>0</v>
      </c>
      <c r="Y134" s="50"/>
      <c r="Z134" s="50">
        <f t="shared" si="84"/>
        <v>0</v>
      </c>
      <c r="AA134" s="50"/>
      <c r="AB134" s="50">
        <f t="shared" si="85"/>
        <v>0</v>
      </c>
      <c r="AC134" s="50"/>
      <c r="AD134" s="50"/>
      <c r="AE134" s="50"/>
      <c r="AF134" s="50">
        <f t="shared" si="86"/>
        <v>0</v>
      </c>
      <c r="AG134" s="50"/>
      <c r="AH134" s="50">
        <f t="shared" si="87"/>
        <v>0</v>
      </c>
      <c r="AI134" s="50"/>
      <c r="AJ134" s="50">
        <f t="shared" si="88"/>
        <v>0</v>
      </c>
      <c r="AK134" s="50"/>
      <c r="AL134" s="50">
        <f t="shared" si="89"/>
        <v>0</v>
      </c>
      <c r="AM134" s="50"/>
      <c r="AN134" s="50">
        <f t="shared" si="90"/>
        <v>0</v>
      </c>
      <c r="AO134" s="50"/>
      <c r="AP134" s="50">
        <f t="shared" si="91"/>
        <v>0</v>
      </c>
      <c r="AQ134" s="50"/>
      <c r="AR134" s="50">
        <f t="shared" si="92"/>
        <v>0</v>
      </c>
      <c r="AS134" s="50"/>
      <c r="AT134" s="50">
        <f t="shared" si="93"/>
        <v>0</v>
      </c>
      <c r="AU134" s="260"/>
      <c r="AV134" s="260">
        <f t="shared" si="94"/>
        <v>0</v>
      </c>
    </row>
    <row r="135" spans="1:48" x14ac:dyDescent="0.2">
      <c r="A135" s="47" t="s">
        <v>296</v>
      </c>
      <c r="B135" s="48" t="s">
        <v>227</v>
      </c>
      <c r="C135" s="149">
        <v>8.976713642044265</v>
      </c>
      <c r="D135" s="49">
        <f t="shared" si="82"/>
        <v>8.98</v>
      </c>
      <c r="E135" s="50"/>
      <c r="F135" s="50">
        <f t="shared" si="74"/>
        <v>0</v>
      </c>
      <c r="G135" s="50"/>
      <c r="H135" s="50">
        <f t="shared" si="75"/>
        <v>0</v>
      </c>
      <c r="I135" s="50"/>
      <c r="J135" s="50">
        <f t="shared" si="76"/>
        <v>0</v>
      </c>
      <c r="K135" s="50"/>
      <c r="L135" s="50">
        <f t="shared" si="77"/>
        <v>0</v>
      </c>
      <c r="M135" s="50"/>
      <c r="N135" s="50">
        <f t="shared" si="78"/>
        <v>0</v>
      </c>
      <c r="O135" s="50"/>
      <c r="P135" s="50"/>
      <c r="Q135" s="50"/>
      <c r="R135" s="50">
        <f t="shared" si="79"/>
        <v>0</v>
      </c>
      <c r="S135" s="50"/>
      <c r="T135" s="50">
        <f t="shared" si="80"/>
        <v>0</v>
      </c>
      <c r="U135" s="50"/>
      <c r="V135" s="50">
        <f t="shared" si="81"/>
        <v>0</v>
      </c>
      <c r="W135" s="50"/>
      <c r="X135" s="50">
        <f t="shared" si="83"/>
        <v>0</v>
      </c>
      <c r="Y135" s="50"/>
      <c r="Z135" s="50">
        <f t="shared" si="84"/>
        <v>0</v>
      </c>
      <c r="AA135" s="50"/>
      <c r="AB135" s="50">
        <f t="shared" si="85"/>
        <v>0</v>
      </c>
      <c r="AC135" s="50"/>
      <c r="AD135" s="50"/>
      <c r="AE135" s="50"/>
      <c r="AF135" s="50">
        <f t="shared" si="86"/>
        <v>0</v>
      </c>
      <c r="AG135" s="50"/>
      <c r="AH135" s="50">
        <f t="shared" si="87"/>
        <v>0</v>
      </c>
      <c r="AI135" s="50"/>
      <c r="AJ135" s="50">
        <f t="shared" si="88"/>
        <v>0</v>
      </c>
      <c r="AK135" s="50"/>
      <c r="AL135" s="50">
        <f t="shared" si="89"/>
        <v>0</v>
      </c>
      <c r="AM135" s="50"/>
      <c r="AN135" s="50">
        <f t="shared" si="90"/>
        <v>0</v>
      </c>
      <c r="AO135" s="50"/>
      <c r="AP135" s="50">
        <f t="shared" si="91"/>
        <v>0</v>
      </c>
      <c r="AQ135" s="50"/>
      <c r="AR135" s="50">
        <f t="shared" si="92"/>
        <v>0</v>
      </c>
      <c r="AS135" s="50"/>
      <c r="AT135" s="50">
        <f t="shared" si="93"/>
        <v>0</v>
      </c>
      <c r="AU135" s="260"/>
      <c r="AV135" s="260">
        <f t="shared" si="94"/>
        <v>0</v>
      </c>
    </row>
    <row r="136" spans="1:48" x14ac:dyDescent="0.2">
      <c r="A136" s="47" t="s">
        <v>297</v>
      </c>
      <c r="B136" s="48" t="s">
        <v>227</v>
      </c>
      <c r="C136" s="149">
        <v>11.1420802920435</v>
      </c>
      <c r="D136" s="49">
        <f t="shared" si="82"/>
        <v>11.14</v>
      </c>
      <c r="E136" s="50"/>
      <c r="F136" s="50">
        <f t="shared" si="74"/>
        <v>0</v>
      </c>
      <c r="G136" s="50"/>
      <c r="H136" s="50">
        <f t="shared" si="75"/>
        <v>0</v>
      </c>
      <c r="I136" s="50"/>
      <c r="J136" s="50">
        <f t="shared" si="76"/>
        <v>0</v>
      </c>
      <c r="K136" s="50"/>
      <c r="L136" s="50">
        <f t="shared" si="77"/>
        <v>0</v>
      </c>
      <c r="M136" s="50"/>
      <c r="N136" s="50">
        <f t="shared" si="78"/>
        <v>0</v>
      </c>
      <c r="O136" s="50"/>
      <c r="P136" s="50"/>
      <c r="Q136" s="50"/>
      <c r="R136" s="50">
        <f t="shared" si="79"/>
        <v>0</v>
      </c>
      <c r="S136" s="50"/>
      <c r="T136" s="50">
        <f t="shared" si="80"/>
        <v>0</v>
      </c>
      <c r="U136" s="50"/>
      <c r="V136" s="50">
        <f t="shared" si="81"/>
        <v>0</v>
      </c>
      <c r="W136" s="50"/>
      <c r="X136" s="50">
        <f t="shared" si="83"/>
        <v>0</v>
      </c>
      <c r="Y136" s="50"/>
      <c r="Z136" s="50">
        <f t="shared" si="84"/>
        <v>0</v>
      </c>
      <c r="AA136" s="50"/>
      <c r="AB136" s="50">
        <f t="shared" si="85"/>
        <v>0</v>
      </c>
      <c r="AC136" s="50"/>
      <c r="AD136" s="50"/>
      <c r="AE136" s="50"/>
      <c r="AF136" s="50">
        <f t="shared" si="86"/>
        <v>0</v>
      </c>
      <c r="AG136" s="50"/>
      <c r="AH136" s="50">
        <f t="shared" si="87"/>
        <v>0</v>
      </c>
      <c r="AI136" s="50"/>
      <c r="AJ136" s="50">
        <f t="shared" si="88"/>
        <v>0</v>
      </c>
      <c r="AK136" s="50"/>
      <c r="AL136" s="50">
        <f t="shared" si="89"/>
        <v>0</v>
      </c>
      <c r="AM136" s="50"/>
      <c r="AN136" s="50">
        <f t="shared" si="90"/>
        <v>0</v>
      </c>
      <c r="AO136" s="50"/>
      <c r="AP136" s="50">
        <f t="shared" si="91"/>
        <v>0</v>
      </c>
      <c r="AQ136" s="50"/>
      <c r="AR136" s="50">
        <f t="shared" si="92"/>
        <v>0</v>
      </c>
      <c r="AS136" s="50"/>
      <c r="AT136" s="50">
        <f t="shared" si="93"/>
        <v>0</v>
      </c>
      <c r="AU136" s="260"/>
      <c r="AV136" s="260">
        <f t="shared" si="94"/>
        <v>0</v>
      </c>
    </row>
    <row r="137" spans="1:48" x14ac:dyDescent="0.2">
      <c r="A137" s="47" t="s">
        <v>298</v>
      </c>
      <c r="B137" s="48" t="s">
        <v>227</v>
      </c>
      <c r="C137" s="149">
        <v>4.1755970842698549</v>
      </c>
      <c r="D137" s="49">
        <f t="shared" si="82"/>
        <v>4.18</v>
      </c>
      <c r="E137" s="50"/>
      <c r="F137" s="50">
        <f t="shared" si="74"/>
        <v>0</v>
      </c>
      <c r="G137" s="50"/>
      <c r="H137" s="50">
        <f t="shared" si="75"/>
        <v>0</v>
      </c>
      <c r="I137" s="50"/>
      <c r="J137" s="50">
        <f t="shared" si="76"/>
        <v>0</v>
      </c>
      <c r="K137" s="50"/>
      <c r="L137" s="50">
        <f t="shared" si="77"/>
        <v>0</v>
      </c>
      <c r="M137" s="50"/>
      <c r="N137" s="50">
        <f t="shared" si="78"/>
        <v>0</v>
      </c>
      <c r="O137" s="50"/>
      <c r="P137" s="50"/>
      <c r="Q137" s="50"/>
      <c r="R137" s="50">
        <f t="shared" si="79"/>
        <v>0</v>
      </c>
      <c r="S137" s="50"/>
      <c r="T137" s="50">
        <f t="shared" si="80"/>
        <v>0</v>
      </c>
      <c r="U137" s="50"/>
      <c r="V137" s="50">
        <f t="shared" si="81"/>
        <v>0</v>
      </c>
      <c r="W137" s="50"/>
      <c r="X137" s="50">
        <f t="shared" si="83"/>
        <v>0</v>
      </c>
      <c r="Y137" s="50"/>
      <c r="Z137" s="50">
        <f t="shared" si="84"/>
        <v>0</v>
      </c>
      <c r="AA137" s="50"/>
      <c r="AB137" s="50">
        <f t="shared" si="85"/>
        <v>0</v>
      </c>
      <c r="AC137" s="50"/>
      <c r="AD137" s="50"/>
      <c r="AE137" s="50"/>
      <c r="AF137" s="50">
        <f t="shared" si="86"/>
        <v>0</v>
      </c>
      <c r="AG137" s="50"/>
      <c r="AH137" s="50">
        <f t="shared" si="87"/>
        <v>0</v>
      </c>
      <c r="AI137" s="50"/>
      <c r="AJ137" s="50">
        <f t="shared" si="88"/>
        <v>0</v>
      </c>
      <c r="AK137" s="50"/>
      <c r="AL137" s="50">
        <f t="shared" si="89"/>
        <v>0</v>
      </c>
      <c r="AM137" s="50"/>
      <c r="AN137" s="50">
        <f t="shared" si="90"/>
        <v>0</v>
      </c>
      <c r="AO137" s="50"/>
      <c r="AP137" s="50">
        <f t="shared" si="91"/>
        <v>0</v>
      </c>
      <c r="AQ137" s="50"/>
      <c r="AR137" s="50">
        <f t="shared" si="92"/>
        <v>0</v>
      </c>
      <c r="AS137" s="50"/>
      <c r="AT137" s="50">
        <f t="shared" si="93"/>
        <v>0</v>
      </c>
      <c r="AU137" s="260"/>
      <c r="AV137" s="260">
        <f t="shared" si="94"/>
        <v>0</v>
      </c>
    </row>
    <row r="138" spans="1:48" x14ac:dyDescent="0.2">
      <c r="A138" s="534" t="s">
        <v>1085</v>
      </c>
      <c r="B138" s="48" t="s">
        <v>227</v>
      </c>
      <c r="C138" s="49">
        <v>1.48</v>
      </c>
      <c r="D138" s="49">
        <f t="shared" si="82"/>
        <v>1.48</v>
      </c>
      <c r="E138" s="50"/>
      <c r="F138" s="50">
        <f t="shared" si="74"/>
        <v>0</v>
      </c>
      <c r="G138" s="50"/>
      <c r="H138" s="50">
        <f t="shared" si="75"/>
        <v>0</v>
      </c>
      <c r="I138" s="50"/>
      <c r="J138" s="50">
        <f t="shared" si="76"/>
        <v>0</v>
      </c>
      <c r="K138" s="50"/>
      <c r="L138" s="50">
        <f t="shared" si="77"/>
        <v>0</v>
      </c>
      <c r="M138" s="50"/>
      <c r="N138" s="50">
        <f t="shared" si="78"/>
        <v>0</v>
      </c>
      <c r="O138" s="50"/>
      <c r="P138" s="50"/>
      <c r="Q138" s="50"/>
      <c r="R138" s="50">
        <f t="shared" si="79"/>
        <v>0</v>
      </c>
      <c r="S138" s="50"/>
      <c r="T138" s="50">
        <f t="shared" si="80"/>
        <v>0</v>
      </c>
      <c r="U138" s="50"/>
      <c r="V138" s="50">
        <f t="shared" si="81"/>
        <v>0</v>
      </c>
      <c r="W138" s="50"/>
      <c r="X138" s="50">
        <f t="shared" si="83"/>
        <v>0</v>
      </c>
      <c r="Y138" s="50"/>
      <c r="Z138" s="50">
        <f t="shared" si="84"/>
        <v>0</v>
      </c>
      <c r="AA138" s="50"/>
      <c r="AB138" s="50">
        <f t="shared" si="85"/>
        <v>0</v>
      </c>
      <c r="AC138" s="50"/>
      <c r="AD138" s="479">
        <f>D138*AC138</f>
        <v>0</v>
      </c>
      <c r="AE138" s="50"/>
      <c r="AF138" s="50">
        <f t="shared" si="86"/>
        <v>0</v>
      </c>
      <c r="AG138" s="50"/>
      <c r="AH138" s="50">
        <f t="shared" si="87"/>
        <v>0</v>
      </c>
      <c r="AI138" s="50"/>
      <c r="AJ138" s="50">
        <f t="shared" si="88"/>
        <v>0</v>
      </c>
      <c r="AK138" s="50"/>
      <c r="AL138" s="50">
        <f t="shared" si="89"/>
        <v>0</v>
      </c>
      <c r="AM138" s="50"/>
      <c r="AN138" s="50">
        <f t="shared" si="90"/>
        <v>0</v>
      </c>
      <c r="AO138" s="50"/>
      <c r="AP138" s="50">
        <f t="shared" si="91"/>
        <v>0</v>
      </c>
      <c r="AQ138" s="50">
        <v>2</v>
      </c>
      <c r="AR138" s="479">
        <f t="shared" si="92"/>
        <v>2.96</v>
      </c>
      <c r="AS138" s="50"/>
      <c r="AT138" s="50">
        <f t="shared" si="93"/>
        <v>0</v>
      </c>
      <c r="AU138" s="260"/>
      <c r="AV138" s="27">
        <f t="shared" si="94"/>
        <v>0</v>
      </c>
    </row>
    <row r="139" spans="1:48" x14ac:dyDescent="0.2">
      <c r="A139" s="47" t="s">
        <v>300</v>
      </c>
      <c r="B139" s="48" t="s">
        <v>227</v>
      </c>
      <c r="C139" s="49">
        <v>0.42314510550313689</v>
      </c>
      <c r="D139" s="49">
        <f t="shared" si="82"/>
        <v>0.42</v>
      </c>
      <c r="E139" s="50"/>
      <c r="F139" s="50">
        <f t="shared" si="74"/>
        <v>0</v>
      </c>
      <c r="G139" s="50"/>
      <c r="H139" s="50">
        <f t="shared" si="75"/>
        <v>0</v>
      </c>
      <c r="I139" s="50"/>
      <c r="J139" s="50">
        <f t="shared" si="76"/>
        <v>0</v>
      </c>
      <c r="K139" s="50"/>
      <c r="L139" s="50">
        <f t="shared" si="77"/>
        <v>0</v>
      </c>
      <c r="M139" s="50"/>
      <c r="N139" s="50">
        <f t="shared" si="78"/>
        <v>0</v>
      </c>
      <c r="O139" s="50"/>
      <c r="P139" s="50"/>
      <c r="Q139" s="50"/>
      <c r="R139" s="50">
        <f t="shared" si="79"/>
        <v>0</v>
      </c>
      <c r="S139" s="50"/>
      <c r="T139" s="50">
        <f t="shared" si="80"/>
        <v>0</v>
      </c>
      <c r="U139" s="50"/>
      <c r="V139" s="50">
        <f t="shared" si="81"/>
        <v>0</v>
      </c>
      <c r="W139" s="50"/>
      <c r="X139" s="50">
        <f t="shared" si="83"/>
        <v>0</v>
      </c>
      <c r="Y139" s="50"/>
      <c r="Z139" s="50">
        <f t="shared" si="84"/>
        <v>0</v>
      </c>
      <c r="AA139" s="50"/>
      <c r="AB139" s="50">
        <f t="shared" si="85"/>
        <v>0</v>
      </c>
      <c r="AC139" s="50"/>
      <c r="AD139" s="50"/>
      <c r="AE139" s="50"/>
      <c r="AF139" s="50">
        <f t="shared" si="86"/>
        <v>0</v>
      </c>
      <c r="AG139" s="50"/>
      <c r="AH139" s="50">
        <f t="shared" si="87"/>
        <v>0</v>
      </c>
      <c r="AI139" s="50"/>
      <c r="AJ139" s="50">
        <f t="shared" si="88"/>
        <v>0</v>
      </c>
      <c r="AK139" s="50"/>
      <c r="AL139" s="50">
        <f t="shared" si="89"/>
        <v>0</v>
      </c>
      <c r="AM139" s="50"/>
      <c r="AN139" s="50">
        <f t="shared" si="90"/>
        <v>0</v>
      </c>
      <c r="AO139" s="50"/>
      <c r="AP139" s="50">
        <f t="shared" si="91"/>
        <v>0</v>
      </c>
      <c r="AQ139" s="50"/>
      <c r="AR139" s="50">
        <f t="shared" si="92"/>
        <v>0</v>
      </c>
      <c r="AS139" s="50"/>
      <c r="AT139" s="50">
        <f t="shared" si="93"/>
        <v>0</v>
      </c>
      <c r="AU139" s="260"/>
      <c r="AV139" s="260">
        <f t="shared" si="94"/>
        <v>0</v>
      </c>
    </row>
    <row r="140" spans="1:48" x14ac:dyDescent="0.2">
      <c r="A140" s="47" t="s">
        <v>301</v>
      </c>
      <c r="B140" s="48" t="s">
        <v>227</v>
      </c>
      <c r="C140" s="49">
        <v>0.57316270685867921</v>
      </c>
      <c r="D140" s="49">
        <f t="shared" si="82"/>
        <v>0.56999999999999995</v>
      </c>
      <c r="E140" s="50"/>
      <c r="F140" s="50">
        <f t="shared" si="74"/>
        <v>0</v>
      </c>
      <c r="G140" s="50"/>
      <c r="H140" s="50">
        <f t="shared" si="75"/>
        <v>0</v>
      </c>
      <c r="I140" s="50"/>
      <c r="J140" s="50">
        <f t="shared" si="76"/>
        <v>0</v>
      </c>
      <c r="K140" s="50"/>
      <c r="L140" s="50">
        <f t="shared" si="77"/>
        <v>0</v>
      </c>
      <c r="M140" s="50"/>
      <c r="N140" s="50">
        <f t="shared" si="78"/>
        <v>0</v>
      </c>
      <c r="O140" s="50"/>
      <c r="P140" s="50"/>
      <c r="Q140" s="50"/>
      <c r="R140" s="50">
        <f t="shared" si="79"/>
        <v>0</v>
      </c>
      <c r="S140" s="50"/>
      <c r="T140" s="50">
        <f t="shared" si="80"/>
        <v>0</v>
      </c>
      <c r="U140" s="50"/>
      <c r="V140" s="50">
        <f t="shared" si="81"/>
        <v>0</v>
      </c>
      <c r="W140" s="50"/>
      <c r="X140" s="50">
        <f t="shared" si="83"/>
        <v>0</v>
      </c>
      <c r="Y140" s="50"/>
      <c r="Z140" s="50">
        <f t="shared" si="84"/>
        <v>0</v>
      </c>
      <c r="AA140" s="50"/>
      <c r="AB140" s="50">
        <f t="shared" si="85"/>
        <v>0</v>
      </c>
      <c r="AC140" s="50"/>
      <c r="AD140" s="50"/>
      <c r="AE140" s="50"/>
      <c r="AF140" s="50">
        <f t="shared" si="86"/>
        <v>0</v>
      </c>
      <c r="AG140" s="50"/>
      <c r="AH140" s="50">
        <f t="shared" si="87"/>
        <v>0</v>
      </c>
      <c r="AI140" s="50"/>
      <c r="AJ140" s="50">
        <f t="shared" si="88"/>
        <v>0</v>
      </c>
      <c r="AK140" s="50"/>
      <c r="AL140" s="50">
        <f t="shared" si="89"/>
        <v>0</v>
      </c>
      <c r="AM140" s="50"/>
      <c r="AN140" s="50">
        <f t="shared" si="90"/>
        <v>0</v>
      </c>
      <c r="AO140" s="50"/>
      <c r="AP140" s="50">
        <f t="shared" si="91"/>
        <v>0</v>
      </c>
      <c r="AQ140" s="50"/>
      <c r="AR140" s="50">
        <f t="shared" si="92"/>
        <v>0</v>
      </c>
      <c r="AS140" s="50"/>
      <c r="AT140" s="50">
        <f t="shared" si="93"/>
        <v>0</v>
      </c>
      <c r="AU140" s="260"/>
      <c r="AV140" s="260">
        <f t="shared" si="94"/>
        <v>0</v>
      </c>
    </row>
    <row r="141" spans="1:48" x14ac:dyDescent="0.2">
      <c r="A141" s="47" t="s">
        <v>302</v>
      </c>
      <c r="B141" s="48" t="s">
        <v>227</v>
      </c>
      <c r="C141" s="49">
        <v>0.68591803774781956</v>
      </c>
      <c r="D141" s="49">
        <f t="shared" si="82"/>
        <v>0.69</v>
      </c>
      <c r="E141" s="50"/>
      <c r="F141" s="50">
        <f t="shared" si="74"/>
        <v>0</v>
      </c>
      <c r="G141" s="50"/>
      <c r="H141" s="50">
        <f t="shared" si="75"/>
        <v>0</v>
      </c>
      <c r="I141" s="50"/>
      <c r="J141" s="50">
        <f t="shared" si="76"/>
        <v>0</v>
      </c>
      <c r="K141" s="50"/>
      <c r="L141" s="50">
        <f t="shared" si="77"/>
        <v>0</v>
      </c>
      <c r="M141" s="50"/>
      <c r="N141" s="50">
        <f t="shared" si="78"/>
        <v>0</v>
      </c>
      <c r="O141" s="50"/>
      <c r="P141" s="50"/>
      <c r="Q141" s="50"/>
      <c r="R141" s="50">
        <f t="shared" si="79"/>
        <v>0</v>
      </c>
      <c r="S141" s="50"/>
      <c r="T141" s="50">
        <f t="shared" si="80"/>
        <v>0</v>
      </c>
      <c r="U141" s="50"/>
      <c r="V141" s="50">
        <f t="shared" si="81"/>
        <v>0</v>
      </c>
      <c r="W141" s="50"/>
      <c r="X141" s="50">
        <f t="shared" si="83"/>
        <v>0</v>
      </c>
      <c r="Y141" s="50"/>
      <c r="Z141" s="50">
        <f t="shared" si="84"/>
        <v>0</v>
      </c>
      <c r="AA141" s="50"/>
      <c r="AB141" s="50">
        <f t="shared" si="85"/>
        <v>0</v>
      </c>
      <c r="AC141" s="50"/>
      <c r="AD141" s="50"/>
      <c r="AE141" s="50"/>
      <c r="AF141" s="50">
        <f t="shared" si="86"/>
        <v>0</v>
      </c>
      <c r="AG141" s="50"/>
      <c r="AH141" s="50">
        <f t="shared" si="87"/>
        <v>0</v>
      </c>
      <c r="AI141" s="50"/>
      <c r="AJ141" s="50">
        <f t="shared" si="88"/>
        <v>0</v>
      </c>
      <c r="AK141" s="50"/>
      <c r="AL141" s="50">
        <f t="shared" si="89"/>
        <v>0</v>
      </c>
      <c r="AM141" s="50"/>
      <c r="AN141" s="50">
        <f t="shared" si="90"/>
        <v>0</v>
      </c>
      <c r="AO141" s="50"/>
      <c r="AP141" s="50">
        <f t="shared" si="91"/>
        <v>0</v>
      </c>
      <c r="AQ141" s="50"/>
      <c r="AR141" s="50">
        <f t="shared" si="92"/>
        <v>0</v>
      </c>
      <c r="AS141" s="50"/>
      <c r="AT141" s="50">
        <f t="shared" si="93"/>
        <v>0</v>
      </c>
      <c r="AU141" s="260"/>
      <c r="AV141" s="260">
        <f t="shared" si="94"/>
        <v>0</v>
      </c>
    </row>
    <row r="142" spans="1:48" x14ac:dyDescent="0.2">
      <c r="A142" s="47" t="s">
        <v>303</v>
      </c>
      <c r="B142" s="48" t="s">
        <v>227</v>
      </c>
      <c r="C142" s="149">
        <v>0.51449999999999996</v>
      </c>
      <c r="D142" s="49">
        <f t="shared" si="82"/>
        <v>0.51</v>
      </c>
      <c r="E142" s="50"/>
      <c r="F142" s="50">
        <f t="shared" si="74"/>
        <v>0</v>
      </c>
      <c r="G142" s="50"/>
      <c r="H142" s="50">
        <f t="shared" si="75"/>
        <v>0</v>
      </c>
      <c r="I142" s="50"/>
      <c r="J142" s="50">
        <f t="shared" si="76"/>
        <v>0</v>
      </c>
      <c r="K142" s="50"/>
      <c r="L142" s="50">
        <f t="shared" si="77"/>
        <v>0</v>
      </c>
      <c r="M142" s="50"/>
      <c r="N142" s="50">
        <f t="shared" si="78"/>
        <v>0</v>
      </c>
      <c r="O142" s="50"/>
      <c r="P142" s="50"/>
      <c r="Q142" s="50"/>
      <c r="R142" s="50">
        <f t="shared" si="79"/>
        <v>0</v>
      </c>
      <c r="S142" s="50"/>
      <c r="T142" s="50">
        <f t="shared" si="80"/>
        <v>0</v>
      </c>
      <c r="U142" s="50"/>
      <c r="V142" s="50">
        <f t="shared" si="81"/>
        <v>0</v>
      </c>
      <c r="W142" s="50"/>
      <c r="X142" s="50">
        <f t="shared" si="83"/>
        <v>0</v>
      </c>
      <c r="Y142" s="50"/>
      <c r="Z142" s="50">
        <f t="shared" si="84"/>
        <v>0</v>
      </c>
      <c r="AA142" s="50"/>
      <c r="AB142" s="50">
        <f t="shared" si="85"/>
        <v>0</v>
      </c>
      <c r="AC142" s="50"/>
      <c r="AD142" s="50"/>
      <c r="AE142" s="50"/>
      <c r="AF142" s="50">
        <f t="shared" si="86"/>
        <v>0</v>
      </c>
      <c r="AG142" s="50"/>
      <c r="AH142" s="50">
        <f t="shared" si="87"/>
        <v>0</v>
      </c>
      <c r="AI142" s="50"/>
      <c r="AJ142" s="50">
        <f t="shared" si="88"/>
        <v>0</v>
      </c>
      <c r="AK142" s="50"/>
      <c r="AL142" s="50">
        <f t="shared" si="89"/>
        <v>0</v>
      </c>
      <c r="AM142" s="50"/>
      <c r="AN142" s="50">
        <f t="shared" si="90"/>
        <v>0</v>
      </c>
      <c r="AO142" s="50"/>
      <c r="AP142" s="50">
        <f t="shared" si="91"/>
        <v>0</v>
      </c>
      <c r="AQ142" s="50"/>
      <c r="AR142" s="50">
        <f t="shared" si="92"/>
        <v>0</v>
      </c>
      <c r="AS142" s="50"/>
      <c r="AT142" s="50">
        <f t="shared" si="93"/>
        <v>0</v>
      </c>
      <c r="AU142" s="260"/>
      <c r="AV142" s="260">
        <f t="shared" si="94"/>
        <v>0</v>
      </c>
    </row>
    <row r="143" spans="1:48" x14ac:dyDescent="0.2">
      <c r="A143" s="47" t="s">
        <v>304</v>
      </c>
      <c r="B143" s="48" t="s">
        <v>227</v>
      </c>
      <c r="C143" s="149">
        <v>1.008</v>
      </c>
      <c r="D143" s="49">
        <f t="shared" si="82"/>
        <v>1.01</v>
      </c>
      <c r="E143" s="50"/>
      <c r="F143" s="50">
        <f t="shared" si="74"/>
        <v>0</v>
      </c>
      <c r="G143" s="50"/>
      <c r="H143" s="50">
        <f t="shared" si="75"/>
        <v>0</v>
      </c>
      <c r="I143" s="50"/>
      <c r="J143" s="50">
        <f t="shared" si="76"/>
        <v>0</v>
      </c>
      <c r="K143" s="50"/>
      <c r="L143" s="50">
        <f t="shared" si="77"/>
        <v>0</v>
      </c>
      <c r="M143" s="50"/>
      <c r="N143" s="50">
        <f t="shared" si="78"/>
        <v>0</v>
      </c>
      <c r="O143" s="50"/>
      <c r="P143" s="50"/>
      <c r="Q143" s="50"/>
      <c r="R143" s="50">
        <f t="shared" si="79"/>
        <v>0</v>
      </c>
      <c r="S143" s="50"/>
      <c r="T143" s="50">
        <f t="shared" si="80"/>
        <v>0</v>
      </c>
      <c r="U143" s="50"/>
      <c r="V143" s="50">
        <f t="shared" si="81"/>
        <v>0</v>
      </c>
      <c r="W143" s="50"/>
      <c r="X143" s="50">
        <f t="shared" si="83"/>
        <v>0</v>
      </c>
      <c r="Y143" s="50"/>
      <c r="Z143" s="50">
        <f t="shared" si="84"/>
        <v>0</v>
      </c>
      <c r="AA143" s="50"/>
      <c r="AB143" s="50">
        <f t="shared" si="85"/>
        <v>0</v>
      </c>
      <c r="AC143" s="50"/>
      <c r="AD143" s="50"/>
      <c r="AE143" s="50"/>
      <c r="AF143" s="50">
        <f t="shared" si="86"/>
        <v>0</v>
      </c>
      <c r="AG143" s="50"/>
      <c r="AH143" s="50">
        <f t="shared" si="87"/>
        <v>0</v>
      </c>
      <c r="AI143" s="50"/>
      <c r="AJ143" s="50">
        <f t="shared" si="88"/>
        <v>0</v>
      </c>
      <c r="AK143" s="50"/>
      <c r="AL143" s="50">
        <f t="shared" si="89"/>
        <v>0</v>
      </c>
      <c r="AM143" s="50"/>
      <c r="AN143" s="50">
        <f t="shared" si="90"/>
        <v>0</v>
      </c>
      <c r="AO143" s="50"/>
      <c r="AP143" s="50">
        <f t="shared" si="91"/>
        <v>0</v>
      </c>
      <c r="AQ143" s="50"/>
      <c r="AR143" s="50">
        <f t="shared" si="92"/>
        <v>0</v>
      </c>
      <c r="AS143" s="50"/>
      <c r="AT143" s="50">
        <f t="shared" si="93"/>
        <v>0</v>
      </c>
      <c r="AU143" s="260"/>
      <c r="AV143" s="260">
        <f t="shared" si="94"/>
        <v>0</v>
      </c>
    </row>
    <row r="144" spans="1:48" x14ac:dyDescent="0.2">
      <c r="A144" s="47" t="s">
        <v>305</v>
      </c>
      <c r="B144" s="48" t="s">
        <v>227</v>
      </c>
      <c r="C144" s="149">
        <v>4.8520043548282867</v>
      </c>
      <c r="D144" s="49">
        <f t="shared" si="82"/>
        <v>4.8499999999999996</v>
      </c>
      <c r="E144" s="50"/>
      <c r="F144" s="50">
        <f t="shared" si="74"/>
        <v>0</v>
      </c>
      <c r="G144" s="50"/>
      <c r="H144" s="50">
        <f t="shared" si="75"/>
        <v>0</v>
      </c>
      <c r="I144" s="50"/>
      <c r="J144" s="50">
        <f t="shared" si="76"/>
        <v>0</v>
      </c>
      <c r="K144" s="50"/>
      <c r="L144" s="50">
        <f t="shared" si="77"/>
        <v>0</v>
      </c>
      <c r="M144" s="50"/>
      <c r="N144" s="50">
        <f t="shared" si="78"/>
        <v>0</v>
      </c>
      <c r="O144" s="50"/>
      <c r="P144" s="50"/>
      <c r="Q144" s="50"/>
      <c r="R144" s="50">
        <f t="shared" si="79"/>
        <v>0</v>
      </c>
      <c r="S144" s="50"/>
      <c r="T144" s="50">
        <f t="shared" si="80"/>
        <v>0</v>
      </c>
      <c r="U144" s="50"/>
      <c r="V144" s="50">
        <f t="shared" si="81"/>
        <v>0</v>
      </c>
      <c r="W144" s="50"/>
      <c r="X144" s="50">
        <f t="shared" si="83"/>
        <v>0</v>
      </c>
      <c r="Y144" s="50"/>
      <c r="Z144" s="50">
        <f t="shared" si="84"/>
        <v>0</v>
      </c>
      <c r="AA144" s="50"/>
      <c r="AB144" s="50">
        <f t="shared" si="85"/>
        <v>0</v>
      </c>
      <c r="AC144" s="50"/>
      <c r="AD144" s="50"/>
      <c r="AE144" s="50"/>
      <c r="AF144" s="50">
        <f t="shared" si="86"/>
        <v>0</v>
      </c>
      <c r="AG144" s="50"/>
      <c r="AH144" s="50">
        <f t="shared" si="87"/>
        <v>0</v>
      </c>
      <c r="AI144" s="50"/>
      <c r="AJ144" s="50">
        <f t="shared" si="88"/>
        <v>0</v>
      </c>
      <c r="AK144" s="50"/>
      <c r="AL144" s="50">
        <f t="shared" si="89"/>
        <v>0</v>
      </c>
      <c r="AM144" s="50"/>
      <c r="AN144" s="50">
        <f t="shared" si="90"/>
        <v>0</v>
      </c>
      <c r="AO144" s="50"/>
      <c r="AP144" s="50">
        <f t="shared" si="91"/>
        <v>0</v>
      </c>
      <c r="AQ144" s="50"/>
      <c r="AR144" s="50">
        <f t="shared" si="92"/>
        <v>0</v>
      </c>
      <c r="AS144" s="50"/>
      <c r="AT144" s="50">
        <f t="shared" si="93"/>
        <v>0</v>
      </c>
      <c r="AU144" s="260"/>
      <c r="AV144" s="260">
        <f t="shared" si="94"/>
        <v>0</v>
      </c>
    </row>
    <row r="145" spans="1:48" x14ac:dyDescent="0.2">
      <c r="A145" s="47" t="s">
        <v>306</v>
      </c>
      <c r="B145" s="48" t="s">
        <v>227</v>
      </c>
      <c r="C145" s="149">
        <v>4.9363584204577693</v>
      </c>
      <c r="D145" s="49">
        <f t="shared" si="82"/>
        <v>4.9400000000000004</v>
      </c>
      <c r="E145" s="50"/>
      <c r="F145" s="50">
        <f t="shared" si="74"/>
        <v>0</v>
      </c>
      <c r="G145" s="50"/>
      <c r="H145" s="50">
        <f t="shared" si="75"/>
        <v>0</v>
      </c>
      <c r="I145" s="50"/>
      <c r="J145" s="50">
        <f t="shared" si="76"/>
        <v>0</v>
      </c>
      <c r="K145" s="50"/>
      <c r="L145" s="50">
        <f t="shared" si="77"/>
        <v>0</v>
      </c>
      <c r="M145" s="50"/>
      <c r="N145" s="50">
        <f t="shared" si="78"/>
        <v>0</v>
      </c>
      <c r="O145" s="50"/>
      <c r="P145" s="50"/>
      <c r="Q145" s="50"/>
      <c r="R145" s="50">
        <f t="shared" si="79"/>
        <v>0</v>
      </c>
      <c r="S145" s="50"/>
      <c r="T145" s="50">
        <f t="shared" si="80"/>
        <v>0</v>
      </c>
      <c r="U145" s="50"/>
      <c r="V145" s="50">
        <f t="shared" si="81"/>
        <v>0</v>
      </c>
      <c r="W145" s="50"/>
      <c r="X145" s="50">
        <f t="shared" si="83"/>
        <v>0</v>
      </c>
      <c r="Y145" s="50"/>
      <c r="Z145" s="50">
        <f t="shared" si="84"/>
        <v>0</v>
      </c>
      <c r="AA145" s="50"/>
      <c r="AB145" s="50">
        <f t="shared" si="85"/>
        <v>0</v>
      </c>
      <c r="AC145" s="50"/>
      <c r="AD145" s="50"/>
      <c r="AE145" s="50"/>
      <c r="AF145" s="50">
        <f t="shared" si="86"/>
        <v>0</v>
      </c>
      <c r="AG145" s="50"/>
      <c r="AH145" s="50">
        <f t="shared" si="87"/>
        <v>0</v>
      </c>
      <c r="AI145" s="50"/>
      <c r="AJ145" s="50">
        <f t="shared" si="88"/>
        <v>0</v>
      </c>
      <c r="AK145" s="50"/>
      <c r="AL145" s="50">
        <f t="shared" si="89"/>
        <v>0</v>
      </c>
      <c r="AM145" s="50"/>
      <c r="AN145" s="50">
        <f t="shared" si="90"/>
        <v>0</v>
      </c>
      <c r="AO145" s="50"/>
      <c r="AP145" s="50">
        <f t="shared" si="91"/>
        <v>0</v>
      </c>
      <c r="AQ145" s="50"/>
      <c r="AR145" s="50">
        <f t="shared" si="92"/>
        <v>0</v>
      </c>
      <c r="AS145" s="50"/>
      <c r="AT145" s="50">
        <f t="shared" si="93"/>
        <v>0</v>
      </c>
      <c r="AU145" s="260"/>
      <c r="AV145" s="260">
        <f t="shared" si="94"/>
        <v>0</v>
      </c>
    </row>
    <row r="146" spans="1:48" x14ac:dyDescent="0.2">
      <c r="A146" s="47" t="s">
        <v>307</v>
      </c>
      <c r="B146" s="48" t="s">
        <v>227</v>
      </c>
      <c r="C146" s="149">
        <v>0.16684820485186783</v>
      </c>
      <c r="D146" s="49">
        <f t="shared" si="82"/>
        <v>0.17</v>
      </c>
      <c r="E146" s="50"/>
      <c r="F146" s="50">
        <f t="shared" si="74"/>
        <v>0</v>
      </c>
      <c r="G146" s="50"/>
      <c r="H146" s="50">
        <f t="shared" si="75"/>
        <v>0</v>
      </c>
      <c r="I146" s="50"/>
      <c r="J146" s="50">
        <f t="shared" si="76"/>
        <v>0</v>
      </c>
      <c r="K146" s="50"/>
      <c r="L146" s="50">
        <f t="shared" si="77"/>
        <v>0</v>
      </c>
      <c r="M146" s="50"/>
      <c r="N146" s="50">
        <f t="shared" si="78"/>
        <v>0</v>
      </c>
      <c r="O146" s="50"/>
      <c r="P146" s="50"/>
      <c r="Q146" s="50"/>
      <c r="R146" s="50">
        <f t="shared" si="79"/>
        <v>0</v>
      </c>
      <c r="S146" s="50"/>
      <c r="T146" s="50">
        <f t="shared" si="80"/>
        <v>0</v>
      </c>
      <c r="U146" s="50"/>
      <c r="V146" s="50">
        <f t="shared" si="81"/>
        <v>0</v>
      </c>
      <c r="W146" s="50"/>
      <c r="X146" s="50">
        <f t="shared" si="83"/>
        <v>0</v>
      </c>
      <c r="Y146" s="50"/>
      <c r="Z146" s="50">
        <f t="shared" si="84"/>
        <v>0</v>
      </c>
      <c r="AA146" s="50"/>
      <c r="AB146" s="50">
        <f t="shared" si="85"/>
        <v>0</v>
      </c>
      <c r="AC146" s="50"/>
      <c r="AD146" s="50"/>
      <c r="AE146" s="50"/>
      <c r="AF146" s="50">
        <f t="shared" si="86"/>
        <v>0</v>
      </c>
      <c r="AG146" s="50"/>
      <c r="AH146" s="50">
        <f t="shared" si="87"/>
        <v>0</v>
      </c>
      <c r="AI146" s="50"/>
      <c r="AJ146" s="50">
        <f t="shared" si="88"/>
        <v>0</v>
      </c>
      <c r="AK146" s="50"/>
      <c r="AL146" s="50">
        <f t="shared" si="89"/>
        <v>0</v>
      </c>
      <c r="AM146" s="50"/>
      <c r="AN146" s="50">
        <f t="shared" si="90"/>
        <v>0</v>
      </c>
      <c r="AO146" s="50"/>
      <c r="AP146" s="50">
        <f t="shared" si="91"/>
        <v>0</v>
      </c>
      <c r="AQ146" s="50"/>
      <c r="AR146" s="50">
        <f t="shared" si="92"/>
        <v>0</v>
      </c>
      <c r="AS146" s="50"/>
      <c r="AT146" s="50">
        <f t="shared" si="93"/>
        <v>0</v>
      </c>
      <c r="AU146" s="260"/>
      <c r="AV146" s="260">
        <f t="shared" si="94"/>
        <v>0</v>
      </c>
    </row>
    <row r="147" spans="1:48" x14ac:dyDescent="0.2">
      <c r="A147" s="47" t="s">
        <v>308</v>
      </c>
      <c r="B147" s="48" t="s">
        <v>227</v>
      </c>
      <c r="C147" s="149">
        <v>0.18163570578991278</v>
      </c>
      <c r="D147" s="49">
        <f t="shared" si="82"/>
        <v>0.18</v>
      </c>
      <c r="E147" s="50"/>
      <c r="F147" s="50">
        <f t="shared" si="74"/>
        <v>0</v>
      </c>
      <c r="G147" s="50"/>
      <c r="H147" s="50">
        <f t="shared" si="75"/>
        <v>0</v>
      </c>
      <c r="I147" s="50"/>
      <c r="J147" s="50">
        <f t="shared" si="76"/>
        <v>0</v>
      </c>
      <c r="K147" s="50"/>
      <c r="L147" s="50">
        <f t="shared" si="77"/>
        <v>0</v>
      </c>
      <c r="M147" s="50"/>
      <c r="N147" s="50">
        <f t="shared" si="78"/>
        <v>0</v>
      </c>
      <c r="O147" s="50"/>
      <c r="P147" s="50"/>
      <c r="Q147" s="50"/>
      <c r="R147" s="50">
        <f t="shared" si="79"/>
        <v>0</v>
      </c>
      <c r="S147" s="50"/>
      <c r="T147" s="50">
        <f t="shared" si="80"/>
        <v>0</v>
      </c>
      <c r="U147" s="50"/>
      <c r="V147" s="50">
        <f t="shared" si="81"/>
        <v>0</v>
      </c>
      <c r="W147" s="50"/>
      <c r="X147" s="50">
        <f t="shared" si="83"/>
        <v>0</v>
      </c>
      <c r="Y147" s="50"/>
      <c r="Z147" s="50">
        <f t="shared" si="84"/>
        <v>0</v>
      </c>
      <c r="AA147" s="50">
        <v>12</v>
      </c>
      <c r="AB147" s="479">
        <f t="shared" si="85"/>
        <v>2.16</v>
      </c>
      <c r="AC147" s="50"/>
      <c r="AD147" s="479">
        <f>D147*AC147</f>
        <v>0</v>
      </c>
      <c r="AE147" s="50"/>
      <c r="AF147" s="50">
        <f t="shared" si="86"/>
        <v>0</v>
      </c>
      <c r="AG147" s="50">
        <v>4</v>
      </c>
      <c r="AH147" s="50">
        <f t="shared" si="87"/>
        <v>0.72</v>
      </c>
      <c r="AI147" s="50">
        <v>9</v>
      </c>
      <c r="AJ147" s="50">
        <f t="shared" si="88"/>
        <v>1.6199999999999999</v>
      </c>
      <c r="AK147" s="50">
        <v>4</v>
      </c>
      <c r="AL147" s="50">
        <f t="shared" si="89"/>
        <v>0.72</v>
      </c>
      <c r="AM147" s="50">
        <v>8</v>
      </c>
      <c r="AN147" s="50">
        <f t="shared" si="90"/>
        <v>1.44</v>
      </c>
      <c r="AO147" s="50">
        <v>6</v>
      </c>
      <c r="AP147" s="50">
        <f t="shared" si="91"/>
        <v>1.08</v>
      </c>
      <c r="AQ147" s="50">
        <v>6</v>
      </c>
      <c r="AR147" s="479">
        <f t="shared" si="92"/>
        <v>1.08</v>
      </c>
      <c r="AS147" s="50">
        <v>12</v>
      </c>
      <c r="AT147" s="50">
        <f t="shared" si="93"/>
        <v>2.16</v>
      </c>
      <c r="AU147" s="260"/>
      <c r="AV147" s="27">
        <f t="shared" si="94"/>
        <v>0</v>
      </c>
    </row>
    <row r="148" spans="1:48" ht="12" customHeight="1" x14ac:dyDescent="0.2">
      <c r="A148" s="47" t="s">
        <v>309</v>
      </c>
      <c r="B148" s="48" t="s">
        <v>227</v>
      </c>
      <c r="C148" s="149">
        <v>0.64029778787860936</v>
      </c>
      <c r="D148" s="49">
        <f t="shared" si="82"/>
        <v>0.64</v>
      </c>
      <c r="E148" s="50"/>
      <c r="F148" s="50">
        <f t="shared" si="74"/>
        <v>0</v>
      </c>
      <c r="G148" s="50"/>
      <c r="H148" s="50">
        <f t="shared" si="75"/>
        <v>0</v>
      </c>
      <c r="I148" s="50"/>
      <c r="J148" s="50">
        <f t="shared" si="76"/>
        <v>0</v>
      </c>
      <c r="K148" s="50"/>
      <c r="L148" s="50">
        <f t="shared" si="77"/>
        <v>0</v>
      </c>
      <c r="M148" s="50"/>
      <c r="N148" s="50">
        <f t="shared" si="78"/>
        <v>0</v>
      </c>
      <c r="O148" s="50"/>
      <c r="P148" s="50"/>
      <c r="Q148" s="50"/>
      <c r="R148" s="50">
        <f t="shared" si="79"/>
        <v>0</v>
      </c>
      <c r="S148" s="50"/>
      <c r="T148" s="50">
        <f t="shared" si="80"/>
        <v>0</v>
      </c>
      <c r="U148" s="50"/>
      <c r="V148" s="50">
        <f t="shared" si="81"/>
        <v>0</v>
      </c>
      <c r="W148" s="50"/>
      <c r="X148" s="50">
        <f t="shared" si="83"/>
        <v>0</v>
      </c>
      <c r="Y148" s="50"/>
      <c r="Z148" s="50">
        <f t="shared" si="84"/>
        <v>0</v>
      </c>
      <c r="AA148" s="50"/>
      <c r="AB148" s="50">
        <f t="shared" si="85"/>
        <v>0</v>
      </c>
      <c r="AC148" s="50"/>
      <c r="AD148" s="50"/>
      <c r="AE148" s="50"/>
      <c r="AF148" s="50">
        <f t="shared" si="86"/>
        <v>0</v>
      </c>
      <c r="AG148" s="50"/>
      <c r="AH148" s="50">
        <f t="shared" si="87"/>
        <v>0</v>
      </c>
      <c r="AI148" s="50">
        <v>3</v>
      </c>
      <c r="AJ148" s="50">
        <f t="shared" si="88"/>
        <v>1.92</v>
      </c>
      <c r="AK148" s="50"/>
      <c r="AL148" s="50">
        <f t="shared" si="89"/>
        <v>0</v>
      </c>
      <c r="AM148" s="50"/>
      <c r="AN148" s="50">
        <f t="shared" si="90"/>
        <v>0</v>
      </c>
      <c r="AO148" s="50"/>
      <c r="AP148" s="50">
        <f t="shared" si="91"/>
        <v>0</v>
      </c>
      <c r="AQ148" s="50"/>
      <c r="AR148" s="50">
        <f t="shared" si="92"/>
        <v>0</v>
      </c>
      <c r="AS148" s="50"/>
      <c r="AT148" s="50">
        <f t="shared" si="93"/>
        <v>0</v>
      </c>
      <c r="AU148" s="260"/>
      <c r="AV148" s="27">
        <f t="shared" si="94"/>
        <v>0</v>
      </c>
    </row>
    <row r="149" spans="1:48" x14ac:dyDescent="0.2">
      <c r="A149" s="47" t="s">
        <v>310</v>
      </c>
      <c r="B149" s="48" t="s">
        <v>227</v>
      </c>
      <c r="C149" s="149">
        <v>0.75855938808814893</v>
      </c>
      <c r="D149" s="49">
        <f t="shared" si="82"/>
        <v>0.76</v>
      </c>
      <c r="E149" s="50"/>
      <c r="F149" s="50">
        <f t="shared" si="74"/>
        <v>0</v>
      </c>
      <c r="G149" s="50"/>
      <c r="H149" s="50">
        <f t="shared" si="75"/>
        <v>0</v>
      </c>
      <c r="I149" s="50"/>
      <c r="J149" s="50">
        <f t="shared" si="76"/>
        <v>0</v>
      </c>
      <c r="K149" s="50"/>
      <c r="L149" s="50">
        <f t="shared" si="77"/>
        <v>0</v>
      </c>
      <c r="M149" s="50"/>
      <c r="N149" s="50">
        <f t="shared" si="78"/>
        <v>0</v>
      </c>
      <c r="O149" s="50"/>
      <c r="P149" s="50"/>
      <c r="Q149" s="50"/>
      <c r="R149" s="50">
        <f t="shared" si="79"/>
        <v>0</v>
      </c>
      <c r="S149" s="50"/>
      <c r="T149" s="50">
        <f t="shared" si="80"/>
        <v>0</v>
      </c>
      <c r="U149" s="50"/>
      <c r="V149" s="50">
        <f t="shared" si="81"/>
        <v>0</v>
      </c>
      <c r="W149" s="50"/>
      <c r="X149" s="50">
        <f t="shared" si="83"/>
        <v>0</v>
      </c>
      <c r="Y149" s="50"/>
      <c r="Z149" s="50">
        <f t="shared" si="84"/>
        <v>0</v>
      </c>
      <c r="AA149" s="50"/>
      <c r="AB149" s="50">
        <f t="shared" si="85"/>
        <v>0</v>
      </c>
      <c r="AC149" s="50"/>
      <c r="AD149" s="50"/>
      <c r="AE149" s="50"/>
      <c r="AF149" s="50">
        <f t="shared" si="86"/>
        <v>0</v>
      </c>
      <c r="AG149" s="50"/>
      <c r="AH149" s="50">
        <f t="shared" si="87"/>
        <v>0</v>
      </c>
      <c r="AI149" s="50"/>
      <c r="AJ149" s="50">
        <f t="shared" si="88"/>
        <v>0</v>
      </c>
      <c r="AK149" s="50"/>
      <c r="AL149" s="50">
        <f t="shared" si="89"/>
        <v>0</v>
      </c>
      <c r="AM149" s="50"/>
      <c r="AN149" s="50">
        <f t="shared" si="90"/>
        <v>0</v>
      </c>
      <c r="AO149" s="50"/>
      <c r="AP149" s="50">
        <f t="shared" si="91"/>
        <v>0</v>
      </c>
      <c r="AQ149" s="50"/>
      <c r="AR149" s="50">
        <f t="shared" si="92"/>
        <v>0</v>
      </c>
      <c r="AS149" s="50"/>
      <c r="AT149" s="50">
        <f t="shared" si="93"/>
        <v>0</v>
      </c>
      <c r="AU149" s="260"/>
      <c r="AV149" s="260">
        <f t="shared" si="94"/>
        <v>0</v>
      </c>
    </row>
    <row r="150" spans="1:48" x14ac:dyDescent="0.2">
      <c r="A150" s="47" t="s">
        <v>311</v>
      </c>
      <c r="B150" s="48" t="s">
        <v>227</v>
      </c>
      <c r="C150" s="149">
        <v>0.78434778517575432</v>
      </c>
      <c r="D150" s="49">
        <f t="shared" si="82"/>
        <v>0.78</v>
      </c>
      <c r="E150" s="50"/>
      <c r="F150" s="50">
        <f t="shared" si="74"/>
        <v>0</v>
      </c>
      <c r="G150" s="50"/>
      <c r="H150" s="50">
        <f t="shared" si="75"/>
        <v>0</v>
      </c>
      <c r="I150" s="50"/>
      <c r="J150" s="50">
        <f t="shared" si="76"/>
        <v>0</v>
      </c>
      <c r="K150" s="50"/>
      <c r="L150" s="50">
        <f t="shared" si="77"/>
        <v>0</v>
      </c>
      <c r="M150" s="50"/>
      <c r="N150" s="50">
        <f t="shared" si="78"/>
        <v>0</v>
      </c>
      <c r="O150" s="50"/>
      <c r="P150" s="50"/>
      <c r="Q150" s="50"/>
      <c r="R150" s="50">
        <f t="shared" si="79"/>
        <v>0</v>
      </c>
      <c r="S150" s="50"/>
      <c r="T150" s="50">
        <f t="shared" si="80"/>
        <v>0</v>
      </c>
      <c r="U150" s="50"/>
      <c r="V150" s="50">
        <f t="shared" si="81"/>
        <v>0</v>
      </c>
      <c r="W150" s="50"/>
      <c r="X150" s="50">
        <f t="shared" si="83"/>
        <v>0</v>
      </c>
      <c r="Y150" s="50"/>
      <c r="Z150" s="50">
        <f t="shared" si="84"/>
        <v>0</v>
      </c>
      <c r="AA150" s="50"/>
      <c r="AB150" s="50">
        <f t="shared" si="85"/>
        <v>0</v>
      </c>
      <c r="AC150" s="50"/>
      <c r="AD150" s="50"/>
      <c r="AE150" s="50"/>
      <c r="AF150" s="50">
        <f t="shared" si="86"/>
        <v>0</v>
      </c>
      <c r="AG150" s="50"/>
      <c r="AH150" s="50">
        <f t="shared" si="87"/>
        <v>0</v>
      </c>
      <c r="AI150" s="50"/>
      <c r="AJ150" s="50">
        <f t="shared" si="88"/>
        <v>0</v>
      </c>
      <c r="AK150" s="50"/>
      <c r="AL150" s="50">
        <f t="shared" si="89"/>
        <v>0</v>
      </c>
      <c r="AM150" s="50"/>
      <c r="AN150" s="50">
        <f t="shared" si="90"/>
        <v>0</v>
      </c>
      <c r="AO150" s="50"/>
      <c r="AP150" s="50">
        <f t="shared" si="91"/>
        <v>0</v>
      </c>
      <c r="AQ150" s="50"/>
      <c r="AR150" s="50">
        <f t="shared" si="92"/>
        <v>0</v>
      </c>
      <c r="AS150" s="50"/>
      <c r="AT150" s="50">
        <f t="shared" si="93"/>
        <v>0</v>
      </c>
      <c r="AU150" s="260"/>
      <c r="AV150" s="260">
        <f t="shared" si="94"/>
        <v>0</v>
      </c>
    </row>
    <row r="151" spans="1:48" x14ac:dyDescent="0.2">
      <c r="A151" s="534" t="s">
        <v>312</v>
      </c>
      <c r="B151" s="48" t="s">
        <v>227</v>
      </c>
      <c r="C151" s="49">
        <v>2.09</v>
      </c>
      <c r="D151" s="49">
        <f t="shared" si="82"/>
        <v>2.09</v>
      </c>
      <c r="E151" s="50"/>
      <c r="F151" s="50">
        <f t="shared" si="74"/>
        <v>0</v>
      </c>
      <c r="G151" s="50"/>
      <c r="H151" s="50">
        <f t="shared" si="75"/>
        <v>0</v>
      </c>
      <c r="I151" s="50"/>
      <c r="J151" s="50">
        <f t="shared" si="76"/>
        <v>0</v>
      </c>
      <c r="K151" s="50"/>
      <c r="L151" s="50">
        <f t="shared" si="77"/>
        <v>0</v>
      </c>
      <c r="M151" s="50"/>
      <c r="N151" s="50">
        <f t="shared" si="78"/>
        <v>0</v>
      </c>
      <c r="O151" s="50"/>
      <c r="P151" s="50"/>
      <c r="Q151" s="50"/>
      <c r="R151" s="50">
        <f t="shared" si="79"/>
        <v>0</v>
      </c>
      <c r="S151" s="50"/>
      <c r="T151" s="50">
        <f t="shared" si="80"/>
        <v>0</v>
      </c>
      <c r="U151" s="50"/>
      <c r="V151" s="50">
        <f t="shared" si="81"/>
        <v>0</v>
      </c>
      <c r="W151" s="50"/>
      <c r="X151" s="50">
        <f t="shared" si="83"/>
        <v>0</v>
      </c>
      <c r="Y151" s="50"/>
      <c r="Z151" s="50">
        <f t="shared" si="84"/>
        <v>0</v>
      </c>
      <c r="AA151" s="50"/>
      <c r="AB151" s="50">
        <f t="shared" si="85"/>
        <v>0</v>
      </c>
      <c r="AC151" s="50"/>
      <c r="AD151" s="479">
        <f>D151*AC151</f>
        <v>0</v>
      </c>
      <c r="AE151" s="50"/>
      <c r="AF151" s="50">
        <f t="shared" si="86"/>
        <v>0</v>
      </c>
      <c r="AG151" s="50"/>
      <c r="AH151" s="50">
        <f t="shared" si="87"/>
        <v>0</v>
      </c>
      <c r="AI151" s="50"/>
      <c r="AJ151" s="50">
        <f t="shared" si="88"/>
        <v>0</v>
      </c>
      <c r="AK151" s="50"/>
      <c r="AL151" s="50">
        <f t="shared" si="89"/>
        <v>0</v>
      </c>
      <c r="AM151" s="50"/>
      <c r="AN151" s="50">
        <f t="shared" si="90"/>
        <v>0</v>
      </c>
      <c r="AO151" s="50"/>
      <c r="AP151" s="50">
        <f t="shared" si="91"/>
        <v>0</v>
      </c>
      <c r="AQ151" s="50">
        <v>2</v>
      </c>
      <c r="AR151" s="479">
        <f t="shared" si="92"/>
        <v>4.18</v>
      </c>
      <c r="AS151" s="50"/>
      <c r="AT151" s="50">
        <f t="shared" si="93"/>
        <v>0</v>
      </c>
      <c r="AU151" s="260"/>
      <c r="AV151" s="27">
        <f t="shared" si="94"/>
        <v>0</v>
      </c>
    </row>
    <row r="152" spans="1:48" x14ac:dyDescent="0.2">
      <c r="A152" s="47" t="s">
        <v>313</v>
      </c>
      <c r="B152" s="48" t="s">
        <v>227</v>
      </c>
      <c r="C152" s="149">
        <v>5.8101206403374528</v>
      </c>
      <c r="D152" s="49">
        <f t="shared" si="82"/>
        <v>5.81</v>
      </c>
      <c r="E152" s="50"/>
      <c r="F152" s="50">
        <f t="shared" si="74"/>
        <v>0</v>
      </c>
      <c r="G152" s="50"/>
      <c r="H152" s="50">
        <f t="shared" si="75"/>
        <v>0</v>
      </c>
      <c r="I152" s="50"/>
      <c r="J152" s="50">
        <f t="shared" si="76"/>
        <v>0</v>
      </c>
      <c r="K152" s="50"/>
      <c r="L152" s="50">
        <f t="shared" si="77"/>
        <v>0</v>
      </c>
      <c r="M152" s="50"/>
      <c r="N152" s="50">
        <f t="shared" si="78"/>
        <v>0</v>
      </c>
      <c r="O152" s="50"/>
      <c r="P152" s="50"/>
      <c r="Q152" s="50"/>
      <c r="R152" s="50">
        <f t="shared" si="79"/>
        <v>0</v>
      </c>
      <c r="S152" s="50"/>
      <c r="T152" s="50">
        <f t="shared" si="80"/>
        <v>0</v>
      </c>
      <c r="U152" s="50"/>
      <c r="V152" s="50">
        <f t="shared" si="81"/>
        <v>0</v>
      </c>
      <c r="W152" s="50"/>
      <c r="X152" s="50">
        <f t="shared" si="83"/>
        <v>0</v>
      </c>
      <c r="Y152" s="50"/>
      <c r="Z152" s="50">
        <f t="shared" si="84"/>
        <v>0</v>
      </c>
      <c r="AA152" s="50"/>
      <c r="AB152" s="50">
        <f t="shared" si="85"/>
        <v>0</v>
      </c>
      <c r="AC152" s="50"/>
      <c r="AD152" s="50"/>
      <c r="AE152" s="50"/>
      <c r="AF152" s="50">
        <f t="shared" si="86"/>
        <v>0</v>
      </c>
      <c r="AG152" s="50"/>
      <c r="AH152" s="50">
        <f t="shared" si="87"/>
        <v>0</v>
      </c>
      <c r="AI152" s="50"/>
      <c r="AJ152" s="50">
        <f t="shared" si="88"/>
        <v>0</v>
      </c>
      <c r="AK152" s="50"/>
      <c r="AL152" s="50">
        <f t="shared" si="89"/>
        <v>0</v>
      </c>
      <c r="AM152" s="50"/>
      <c r="AN152" s="50">
        <f t="shared" si="90"/>
        <v>0</v>
      </c>
      <c r="AO152" s="50"/>
      <c r="AP152" s="50">
        <f t="shared" si="91"/>
        <v>0</v>
      </c>
      <c r="AQ152" s="50"/>
      <c r="AR152" s="50">
        <f t="shared" si="92"/>
        <v>0</v>
      </c>
      <c r="AS152" s="50"/>
      <c r="AT152" s="50">
        <f t="shared" si="93"/>
        <v>0</v>
      </c>
      <c r="AU152" s="260"/>
      <c r="AV152" s="260">
        <f t="shared" si="94"/>
        <v>0</v>
      </c>
    </row>
    <row r="153" spans="1:48" x14ac:dyDescent="0.2">
      <c r="A153" s="47" t="s">
        <v>314</v>
      </c>
      <c r="B153" s="48" t="s">
        <v>227</v>
      </c>
      <c r="C153" s="149">
        <v>7.3305724352251849</v>
      </c>
      <c r="D153" s="49">
        <f t="shared" si="82"/>
        <v>7.33</v>
      </c>
      <c r="E153" s="50"/>
      <c r="F153" s="50">
        <f t="shared" si="74"/>
        <v>0</v>
      </c>
      <c r="G153" s="50"/>
      <c r="H153" s="50">
        <f t="shared" si="75"/>
        <v>0</v>
      </c>
      <c r="I153" s="50"/>
      <c r="J153" s="50">
        <f t="shared" si="76"/>
        <v>0</v>
      </c>
      <c r="K153" s="50"/>
      <c r="L153" s="50">
        <f t="shared" si="77"/>
        <v>0</v>
      </c>
      <c r="M153" s="50"/>
      <c r="N153" s="50">
        <f t="shared" si="78"/>
        <v>0</v>
      </c>
      <c r="O153" s="50"/>
      <c r="P153" s="50"/>
      <c r="Q153" s="50"/>
      <c r="R153" s="50">
        <f t="shared" si="79"/>
        <v>0</v>
      </c>
      <c r="S153" s="50"/>
      <c r="T153" s="50">
        <f t="shared" si="80"/>
        <v>0</v>
      </c>
      <c r="U153" s="50"/>
      <c r="V153" s="50">
        <f t="shared" si="81"/>
        <v>0</v>
      </c>
      <c r="W153" s="50"/>
      <c r="X153" s="50">
        <f t="shared" si="83"/>
        <v>0</v>
      </c>
      <c r="Y153" s="50"/>
      <c r="Z153" s="50">
        <f t="shared" si="84"/>
        <v>0</v>
      </c>
      <c r="AA153" s="50"/>
      <c r="AB153" s="50">
        <f t="shared" si="85"/>
        <v>0</v>
      </c>
      <c r="AC153" s="50"/>
      <c r="AD153" s="50"/>
      <c r="AE153" s="50"/>
      <c r="AF153" s="50">
        <f t="shared" si="86"/>
        <v>0</v>
      </c>
      <c r="AG153" s="50"/>
      <c r="AH153" s="50">
        <f t="shared" si="87"/>
        <v>0</v>
      </c>
      <c r="AI153" s="50"/>
      <c r="AJ153" s="50">
        <f t="shared" si="88"/>
        <v>0</v>
      </c>
      <c r="AK153" s="50"/>
      <c r="AL153" s="50">
        <f t="shared" si="89"/>
        <v>0</v>
      </c>
      <c r="AM153" s="50"/>
      <c r="AN153" s="50">
        <f t="shared" si="90"/>
        <v>0</v>
      </c>
      <c r="AO153" s="50"/>
      <c r="AP153" s="50">
        <f t="shared" si="91"/>
        <v>0</v>
      </c>
      <c r="AQ153" s="50"/>
      <c r="AR153" s="50">
        <f t="shared" si="92"/>
        <v>0</v>
      </c>
      <c r="AS153" s="50"/>
      <c r="AT153" s="50">
        <f t="shared" si="93"/>
        <v>0</v>
      </c>
      <c r="AU153" s="260"/>
      <c r="AV153" s="260">
        <f t="shared" si="94"/>
        <v>0</v>
      </c>
    </row>
    <row r="154" spans="1:48" x14ac:dyDescent="0.2">
      <c r="A154" s="47" t="s">
        <v>315</v>
      </c>
      <c r="B154" s="48" t="s">
        <v>227</v>
      </c>
      <c r="C154" s="149">
        <v>10.237671821902003</v>
      </c>
      <c r="D154" s="49">
        <f t="shared" si="82"/>
        <v>10.24</v>
      </c>
      <c r="E154" s="50"/>
      <c r="F154" s="50">
        <f t="shared" si="74"/>
        <v>0</v>
      </c>
      <c r="G154" s="50"/>
      <c r="H154" s="50">
        <f t="shared" si="75"/>
        <v>0</v>
      </c>
      <c r="I154" s="50"/>
      <c r="J154" s="50">
        <f t="shared" si="76"/>
        <v>0</v>
      </c>
      <c r="K154" s="50"/>
      <c r="L154" s="50">
        <f t="shared" si="77"/>
        <v>0</v>
      </c>
      <c r="M154" s="50"/>
      <c r="N154" s="50">
        <f t="shared" si="78"/>
        <v>0</v>
      </c>
      <c r="O154" s="50"/>
      <c r="P154" s="50"/>
      <c r="Q154" s="50"/>
      <c r="R154" s="50">
        <f t="shared" si="79"/>
        <v>0</v>
      </c>
      <c r="S154" s="50"/>
      <c r="T154" s="50">
        <f t="shared" si="80"/>
        <v>0</v>
      </c>
      <c r="U154" s="50"/>
      <c r="V154" s="50">
        <f t="shared" si="81"/>
        <v>0</v>
      </c>
      <c r="W154" s="50"/>
      <c r="X154" s="50">
        <f t="shared" si="83"/>
        <v>0</v>
      </c>
      <c r="Y154" s="50"/>
      <c r="Z154" s="50">
        <f t="shared" si="84"/>
        <v>0</v>
      </c>
      <c r="AA154" s="50"/>
      <c r="AB154" s="50">
        <f t="shared" si="85"/>
        <v>0</v>
      </c>
      <c r="AC154" s="50"/>
      <c r="AD154" s="50"/>
      <c r="AE154" s="50"/>
      <c r="AF154" s="50">
        <f t="shared" si="86"/>
        <v>0</v>
      </c>
      <c r="AG154" s="50"/>
      <c r="AH154" s="50">
        <f t="shared" si="87"/>
        <v>0</v>
      </c>
      <c r="AI154" s="50"/>
      <c r="AJ154" s="50">
        <f t="shared" si="88"/>
        <v>0</v>
      </c>
      <c r="AK154" s="50"/>
      <c r="AL154" s="50">
        <f t="shared" si="89"/>
        <v>0</v>
      </c>
      <c r="AM154" s="50"/>
      <c r="AN154" s="50">
        <f t="shared" si="90"/>
        <v>0</v>
      </c>
      <c r="AO154" s="50"/>
      <c r="AP154" s="50">
        <f t="shared" si="91"/>
        <v>0</v>
      </c>
      <c r="AQ154" s="50"/>
      <c r="AR154" s="50">
        <f t="shared" si="92"/>
        <v>0</v>
      </c>
      <c r="AS154" s="50"/>
      <c r="AT154" s="50">
        <f t="shared" si="93"/>
        <v>0</v>
      </c>
      <c r="AU154" s="260"/>
      <c r="AV154" s="260">
        <f t="shared" si="94"/>
        <v>0</v>
      </c>
    </row>
    <row r="155" spans="1:48" x14ac:dyDescent="0.2">
      <c r="A155" s="47" t="s">
        <v>316</v>
      </c>
      <c r="B155" s="48" t="s">
        <v>227</v>
      </c>
      <c r="C155" s="149">
        <v>10.356953910211612</v>
      </c>
      <c r="D155" s="49">
        <f t="shared" si="82"/>
        <v>10.36</v>
      </c>
      <c r="E155" s="50"/>
      <c r="F155" s="50">
        <f t="shared" si="74"/>
        <v>0</v>
      </c>
      <c r="G155" s="50"/>
      <c r="H155" s="50">
        <f t="shared" si="75"/>
        <v>0</v>
      </c>
      <c r="I155" s="50"/>
      <c r="J155" s="50">
        <f t="shared" si="76"/>
        <v>0</v>
      </c>
      <c r="K155" s="50"/>
      <c r="L155" s="50">
        <f t="shared" si="77"/>
        <v>0</v>
      </c>
      <c r="M155" s="50"/>
      <c r="N155" s="50">
        <f t="shared" si="78"/>
        <v>0</v>
      </c>
      <c r="O155" s="50"/>
      <c r="P155" s="50"/>
      <c r="Q155" s="50"/>
      <c r="R155" s="50">
        <f t="shared" si="79"/>
        <v>0</v>
      </c>
      <c r="S155" s="50"/>
      <c r="T155" s="50">
        <f t="shared" si="80"/>
        <v>0</v>
      </c>
      <c r="U155" s="50"/>
      <c r="V155" s="50">
        <f t="shared" si="81"/>
        <v>0</v>
      </c>
      <c r="W155" s="50"/>
      <c r="X155" s="50">
        <f t="shared" si="83"/>
        <v>0</v>
      </c>
      <c r="Y155" s="50"/>
      <c r="Z155" s="50">
        <f t="shared" si="84"/>
        <v>0</v>
      </c>
      <c r="AA155" s="50"/>
      <c r="AB155" s="50">
        <f t="shared" si="85"/>
        <v>0</v>
      </c>
      <c r="AC155" s="50"/>
      <c r="AD155" s="50"/>
      <c r="AE155" s="50"/>
      <c r="AF155" s="50">
        <f t="shared" si="86"/>
        <v>0</v>
      </c>
      <c r="AG155" s="50"/>
      <c r="AH155" s="50">
        <f t="shared" si="87"/>
        <v>0</v>
      </c>
      <c r="AI155" s="50"/>
      <c r="AJ155" s="50">
        <f t="shared" si="88"/>
        <v>0</v>
      </c>
      <c r="AK155" s="50"/>
      <c r="AL155" s="50">
        <f t="shared" si="89"/>
        <v>0</v>
      </c>
      <c r="AM155" s="50"/>
      <c r="AN155" s="50">
        <f t="shared" si="90"/>
        <v>0</v>
      </c>
      <c r="AO155" s="50"/>
      <c r="AP155" s="50">
        <f t="shared" si="91"/>
        <v>0</v>
      </c>
      <c r="AQ155" s="50"/>
      <c r="AR155" s="50">
        <f t="shared" si="92"/>
        <v>0</v>
      </c>
      <c r="AS155" s="50"/>
      <c r="AT155" s="50">
        <f t="shared" si="93"/>
        <v>0</v>
      </c>
      <c r="AU155" s="260"/>
      <c r="AV155" s="260">
        <f t="shared" si="94"/>
        <v>0</v>
      </c>
    </row>
    <row r="156" spans="1:48" x14ac:dyDescent="0.2">
      <c r="A156" s="47" t="s">
        <v>317</v>
      </c>
      <c r="B156" s="48" t="s">
        <v>227</v>
      </c>
      <c r="C156" s="149">
        <v>2.8344130543064687</v>
      </c>
      <c r="D156" s="49">
        <f t="shared" si="82"/>
        <v>2.83</v>
      </c>
      <c r="E156" s="50"/>
      <c r="F156" s="50">
        <f t="shared" si="74"/>
        <v>0</v>
      </c>
      <c r="G156" s="50"/>
      <c r="H156" s="50">
        <f t="shared" si="75"/>
        <v>0</v>
      </c>
      <c r="I156" s="50"/>
      <c r="J156" s="50">
        <f t="shared" si="76"/>
        <v>0</v>
      </c>
      <c r="K156" s="50"/>
      <c r="L156" s="50">
        <f t="shared" si="77"/>
        <v>0</v>
      </c>
      <c r="M156" s="50"/>
      <c r="N156" s="50">
        <f t="shared" si="78"/>
        <v>0</v>
      </c>
      <c r="O156" s="50"/>
      <c r="P156" s="50"/>
      <c r="Q156" s="50"/>
      <c r="R156" s="50">
        <f t="shared" si="79"/>
        <v>0</v>
      </c>
      <c r="S156" s="50"/>
      <c r="T156" s="50">
        <f t="shared" si="80"/>
        <v>0</v>
      </c>
      <c r="U156" s="50"/>
      <c r="V156" s="50">
        <f t="shared" si="81"/>
        <v>0</v>
      </c>
      <c r="W156" s="50"/>
      <c r="X156" s="50">
        <f t="shared" si="83"/>
        <v>0</v>
      </c>
      <c r="Y156" s="50"/>
      <c r="Z156" s="50">
        <f t="shared" si="84"/>
        <v>0</v>
      </c>
      <c r="AA156" s="50"/>
      <c r="AB156" s="50">
        <f t="shared" si="85"/>
        <v>0</v>
      </c>
      <c r="AC156" s="50"/>
      <c r="AD156" s="50"/>
      <c r="AE156" s="50"/>
      <c r="AF156" s="50">
        <f t="shared" si="86"/>
        <v>0</v>
      </c>
      <c r="AG156" s="50"/>
      <c r="AH156" s="50">
        <f t="shared" si="87"/>
        <v>0</v>
      </c>
      <c r="AI156" s="50"/>
      <c r="AJ156" s="50">
        <f t="shared" si="88"/>
        <v>0</v>
      </c>
      <c r="AK156" s="50"/>
      <c r="AL156" s="50">
        <f t="shared" si="89"/>
        <v>0</v>
      </c>
      <c r="AM156" s="50"/>
      <c r="AN156" s="50">
        <f t="shared" si="90"/>
        <v>0</v>
      </c>
      <c r="AO156" s="50"/>
      <c r="AP156" s="50">
        <f t="shared" si="91"/>
        <v>0</v>
      </c>
      <c r="AQ156" s="50"/>
      <c r="AR156" s="50">
        <f t="shared" si="92"/>
        <v>0</v>
      </c>
      <c r="AS156" s="50"/>
      <c r="AT156" s="50">
        <f t="shared" si="93"/>
        <v>0</v>
      </c>
      <c r="AU156" s="260"/>
      <c r="AV156" s="260">
        <f t="shared" si="94"/>
        <v>0</v>
      </c>
    </row>
    <row r="157" spans="1:48" x14ac:dyDescent="0.2">
      <c r="A157" s="47" t="s">
        <v>318</v>
      </c>
      <c r="B157" s="48" t="s">
        <v>227</v>
      </c>
      <c r="C157" s="49">
        <v>3.39</v>
      </c>
      <c r="D157" s="49">
        <f t="shared" si="82"/>
        <v>3.39</v>
      </c>
      <c r="E157" s="50"/>
      <c r="F157" s="50">
        <f t="shared" si="74"/>
        <v>0</v>
      </c>
      <c r="G157" s="50"/>
      <c r="H157" s="50">
        <f t="shared" si="75"/>
        <v>0</v>
      </c>
      <c r="I157" s="50"/>
      <c r="J157" s="50">
        <f t="shared" si="76"/>
        <v>0</v>
      </c>
      <c r="K157" s="50"/>
      <c r="L157" s="50">
        <f t="shared" si="77"/>
        <v>0</v>
      </c>
      <c r="M157" s="50"/>
      <c r="N157" s="50">
        <f t="shared" si="78"/>
        <v>0</v>
      </c>
      <c r="O157" s="50"/>
      <c r="P157" s="50"/>
      <c r="Q157" s="50"/>
      <c r="R157" s="50">
        <f t="shared" si="79"/>
        <v>0</v>
      </c>
      <c r="S157" s="50"/>
      <c r="T157" s="50">
        <f t="shared" si="80"/>
        <v>0</v>
      </c>
      <c r="U157" s="50"/>
      <c r="V157" s="50">
        <f t="shared" si="81"/>
        <v>0</v>
      </c>
      <c r="W157" s="50"/>
      <c r="X157" s="50">
        <f t="shared" si="83"/>
        <v>0</v>
      </c>
      <c r="Y157" s="50"/>
      <c r="Z157" s="50">
        <f t="shared" si="84"/>
        <v>0</v>
      </c>
      <c r="AA157" s="50"/>
      <c r="AB157" s="50">
        <f t="shared" si="85"/>
        <v>0</v>
      </c>
      <c r="AC157" s="50"/>
      <c r="AD157" s="479">
        <f>D157*AC157</f>
        <v>0</v>
      </c>
      <c r="AE157" s="50"/>
      <c r="AF157" s="50">
        <f t="shared" si="86"/>
        <v>0</v>
      </c>
      <c r="AG157" s="50"/>
      <c r="AH157" s="50">
        <f t="shared" si="87"/>
        <v>0</v>
      </c>
      <c r="AI157" s="50"/>
      <c r="AJ157" s="50">
        <f t="shared" si="88"/>
        <v>0</v>
      </c>
      <c r="AK157" s="50"/>
      <c r="AL157" s="50">
        <f t="shared" si="89"/>
        <v>0</v>
      </c>
      <c r="AM157" s="50"/>
      <c r="AN157" s="50">
        <f t="shared" si="90"/>
        <v>0</v>
      </c>
      <c r="AO157" s="50"/>
      <c r="AP157" s="50">
        <f t="shared" si="91"/>
        <v>0</v>
      </c>
      <c r="AQ157" s="50">
        <v>3</v>
      </c>
      <c r="AR157" s="479">
        <f t="shared" si="92"/>
        <v>10.17</v>
      </c>
      <c r="AS157" s="50"/>
      <c r="AT157" s="50">
        <f t="shared" si="93"/>
        <v>0</v>
      </c>
      <c r="AU157" s="260"/>
      <c r="AV157" s="27">
        <f t="shared" si="94"/>
        <v>0</v>
      </c>
    </row>
    <row r="158" spans="1:48" x14ac:dyDescent="0.2">
      <c r="A158" s="47" t="s">
        <v>319</v>
      </c>
      <c r="B158" s="48" t="s">
        <v>227</v>
      </c>
      <c r="C158" s="49">
        <v>2.94</v>
      </c>
      <c r="D158" s="49">
        <f t="shared" si="82"/>
        <v>2.94</v>
      </c>
      <c r="E158" s="50"/>
      <c r="F158" s="50">
        <f t="shared" si="74"/>
        <v>0</v>
      </c>
      <c r="G158" s="50"/>
      <c r="H158" s="50">
        <f t="shared" si="75"/>
        <v>0</v>
      </c>
      <c r="I158" s="50"/>
      <c r="J158" s="50">
        <f t="shared" si="76"/>
        <v>0</v>
      </c>
      <c r="K158" s="50"/>
      <c r="L158" s="50">
        <f t="shared" si="77"/>
        <v>0</v>
      </c>
      <c r="M158" s="50"/>
      <c r="N158" s="50">
        <f t="shared" si="78"/>
        <v>0</v>
      </c>
      <c r="O158" s="50"/>
      <c r="P158" s="50"/>
      <c r="Q158" s="50"/>
      <c r="R158" s="50">
        <f t="shared" si="79"/>
        <v>0</v>
      </c>
      <c r="S158" s="50"/>
      <c r="T158" s="50">
        <f t="shared" si="80"/>
        <v>0</v>
      </c>
      <c r="U158" s="50"/>
      <c r="V158" s="50">
        <f t="shared" si="81"/>
        <v>0</v>
      </c>
      <c r="W158" s="50"/>
      <c r="X158" s="50">
        <f t="shared" si="83"/>
        <v>0</v>
      </c>
      <c r="Y158" s="50"/>
      <c r="Z158" s="50">
        <f t="shared" si="84"/>
        <v>0</v>
      </c>
      <c r="AA158" s="50"/>
      <c r="AB158" s="50">
        <f t="shared" si="85"/>
        <v>0</v>
      </c>
      <c r="AC158" s="50"/>
      <c r="AD158" s="50"/>
      <c r="AE158" s="50"/>
      <c r="AF158" s="50">
        <f t="shared" si="86"/>
        <v>0</v>
      </c>
      <c r="AG158" s="50"/>
      <c r="AH158" s="50">
        <f t="shared" si="87"/>
        <v>0</v>
      </c>
      <c r="AI158" s="50"/>
      <c r="AJ158" s="50">
        <f t="shared" si="88"/>
        <v>0</v>
      </c>
      <c r="AK158" s="50"/>
      <c r="AL158" s="50">
        <f t="shared" si="89"/>
        <v>0</v>
      </c>
      <c r="AM158" s="50">
        <v>3</v>
      </c>
      <c r="AN158" s="50">
        <f t="shared" si="90"/>
        <v>8.82</v>
      </c>
      <c r="AO158" s="50">
        <v>3</v>
      </c>
      <c r="AP158" s="50">
        <f t="shared" si="91"/>
        <v>8.82</v>
      </c>
      <c r="AQ158" s="50"/>
      <c r="AR158" s="50">
        <f t="shared" si="92"/>
        <v>0</v>
      </c>
      <c r="AS158" s="50"/>
      <c r="AT158" s="50">
        <f t="shared" si="93"/>
        <v>0</v>
      </c>
      <c r="AU158" s="260"/>
      <c r="AV158" s="27">
        <f t="shared" si="94"/>
        <v>0</v>
      </c>
    </row>
    <row r="159" spans="1:48" x14ac:dyDescent="0.2">
      <c r="A159" s="47" t="s">
        <v>320</v>
      </c>
      <c r="B159" s="48" t="s">
        <v>227</v>
      </c>
      <c r="C159" s="149">
        <v>3.0608805403214694</v>
      </c>
      <c r="D159" s="49">
        <f t="shared" si="82"/>
        <v>3.06</v>
      </c>
      <c r="E159" s="50"/>
      <c r="F159" s="50">
        <f t="shared" si="74"/>
        <v>0</v>
      </c>
      <c r="G159" s="50"/>
      <c r="H159" s="50">
        <f t="shared" si="75"/>
        <v>0</v>
      </c>
      <c r="I159" s="50"/>
      <c r="J159" s="50">
        <f t="shared" si="76"/>
        <v>0</v>
      </c>
      <c r="K159" s="50"/>
      <c r="L159" s="50">
        <f t="shared" si="77"/>
        <v>0</v>
      </c>
      <c r="M159" s="50"/>
      <c r="N159" s="50">
        <f t="shared" si="78"/>
        <v>0</v>
      </c>
      <c r="O159" s="50"/>
      <c r="P159" s="50"/>
      <c r="Q159" s="50"/>
      <c r="R159" s="50">
        <f t="shared" si="79"/>
        <v>0</v>
      </c>
      <c r="S159" s="50"/>
      <c r="T159" s="50">
        <f t="shared" si="80"/>
        <v>0</v>
      </c>
      <c r="U159" s="50"/>
      <c r="V159" s="50">
        <f t="shared" si="81"/>
        <v>0</v>
      </c>
      <c r="W159" s="50"/>
      <c r="X159" s="50">
        <f t="shared" si="83"/>
        <v>0</v>
      </c>
      <c r="Y159" s="50"/>
      <c r="Z159" s="50">
        <f t="shared" si="84"/>
        <v>0</v>
      </c>
      <c r="AA159" s="50"/>
      <c r="AB159" s="50">
        <f t="shared" si="85"/>
        <v>0</v>
      </c>
      <c r="AC159" s="50"/>
      <c r="AD159" s="50"/>
      <c r="AE159" s="50"/>
      <c r="AF159" s="50">
        <f t="shared" si="86"/>
        <v>0</v>
      </c>
      <c r="AG159" s="50"/>
      <c r="AH159" s="50">
        <f t="shared" si="87"/>
        <v>0</v>
      </c>
      <c r="AI159" s="50"/>
      <c r="AJ159" s="50">
        <f t="shared" si="88"/>
        <v>0</v>
      </c>
      <c r="AK159" s="50"/>
      <c r="AL159" s="50">
        <f t="shared" si="89"/>
        <v>0</v>
      </c>
      <c r="AM159" s="50"/>
      <c r="AN159" s="50">
        <f t="shared" si="90"/>
        <v>0</v>
      </c>
      <c r="AO159" s="50"/>
      <c r="AP159" s="50">
        <f t="shared" si="91"/>
        <v>0</v>
      </c>
      <c r="AQ159" s="50"/>
      <c r="AR159" s="50">
        <f t="shared" si="92"/>
        <v>0</v>
      </c>
      <c r="AS159" s="50"/>
      <c r="AT159" s="50">
        <f t="shared" si="93"/>
        <v>0</v>
      </c>
      <c r="AU159" s="260"/>
      <c r="AV159" s="260">
        <f t="shared" si="94"/>
        <v>0</v>
      </c>
    </row>
    <row r="160" spans="1:48" x14ac:dyDescent="0.2">
      <c r="A160" s="47" t="s">
        <v>321</v>
      </c>
      <c r="B160" s="48" t="s">
        <v>227</v>
      </c>
      <c r="C160" s="149">
        <v>9.4808981688654317</v>
      </c>
      <c r="D160" s="49">
        <f t="shared" si="82"/>
        <v>9.48</v>
      </c>
      <c r="E160" s="50"/>
      <c r="F160" s="50">
        <f t="shared" si="74"/>
        <v>0</v>
      </c>
      <c r="G160" s="50"/>
      <c r="H160" s="50">
        <f t="shared" si="75"/>
        <v>0</v>
      </c>
      <c r="I160" s="50"/>
      <c r="J160" s="50">
        <f t="shared" si="76"/>
        <v>0</v>
      </c>
      <c r="K160" s="50"/>
      <c r="L160" s="50">
        <f t="shared" si="77"/>
        <v>0</v>
      </c>
      <c r="M160" s="50"/>
      <c r="N160" s="50">
        <f t="shared" si="78"/>
        <v>0</v>
      </c>
      <c r="O160" s="50"/>
      <c r="P160" s="50"/>
      <c r="Q160" s="50"/>
      <c r="R160" s="50">
        <f t="shared" si="79"/>
        <v>0</v>
      </c>
      <c r="S160" s="50"/>
      <c r="T160" s="50">
        <f t="shared" si="80"/>
        <v>0</v>
      </c>
      <c r="U160" s="50"/>
      <c r="V160" s="50">
        <f t="shared" si="81"/>
        <v>0</v>
      </c>
      <c r="W160" s="50"/>
      <c r="X160" s="50">
        <f t="shared" si="83"/>
        <v>0</v>
      </c>
      <c r="Y160" s="50"/>
      <c r="Z160" s="50">
        <f t="shared" si="84"/>
        <v>0</v>
      </c>
      <c r="AA160" s="50">
        <v>3</v>
      </c>
      <c r="AB160" s="479">
        <f t="shared" si="85"/>
        <v>28.44</v>
      </c>
      <c r="AC160" s="50"/>
      <c r="AD160" s="50"/>
      <c r="AE160" s="50"/>
      <c r="AF160" s="50">
        <f t="shared" si="86"/>
        <v>0</v>
      </c>
      <c r="AG160" s="50"/>
      <c r="AH160" s="50">
        <f t="shared" si="87"/>
        <v>0</v>
      </c>
      <c r="AI160" s="50"/>
      <c r="AJ160" s="50">
        <f t="shared" si="88"/>
        <v>0</v>
      </c>
      <c r="AK160" s="50"/>
      <c r="AL160" s="50">
        <f t="shared" si="89"/>
        <v>0</v>
      </c>
      <c r="AM160" s="50"/>
      <c r="AN160" s="50">
        <f t="shared" si="90"/>
        <v>0</v>
      </c>
      <c r="AO160" s="50"/>
      <c r="AP160" s="50">
        <f t="shared" si="91"/>
        <v>0</v>
      </c>
      <c r="AQ160" s="50"/>
      <c r="AR160" s="50">
        <f t="shared" si="92"/>
        <v>0</v>
      </c>
      <c r="AS160" s="50">
        <v>3</v>
      </c>
      <c r="AT160" s="50">
        <f t="shared" si="93"/>
        <v>28.44</v>
      </c>
      <c r="AU160" s="260"/>
      <c r="AV160" s="27">
        <f t="shared" si="94"/>
        <v>0</v>
      </c>
    </row>
    <row r="161" spans="1:48" x14ac:dyDescent="0.2">
      <c r="A161" s="534" t="s">
        <v>322</v>
      </c>
      <c r="B161" s="48" t="s">
        <v>227</v>
      </c>
      <c r="C161" s="49">
        <v>3.26</v>
      </c>
      <c r="D161" s="49">
        <f t="shared" si="82"/>
        <v>3.26</v>
      </c>
      <c r="E161" s="50"/>
      <c r="F161" s="50">
        <f t="shared" si="74"/>
        <v>0</v>
      </c>
      <c r="G161" s="50"/>
      <c r="H161" s="50">
        <f t="shared" si="75"/>
        <v>0</v>
      </c>
      <c r="I161" s="50"/>
      <c r="J161" s="50">
        <f t="shared" si="76"/>
        <v>0</v>
      </c>
      <c r="K161" s="50"/>
      <c r="L161" s="50">
        <f t="shared" si="77"/>
        <v>0</v>
      </c>
      <c r="M161" s="50"/>
      <c r="N161" s="50">
        <f t="shared" si="78"/>
        <v>0</v>
      </c>
      <c r="O161" s="50"/>
      <c r="P161" s="50"/>
      <c r="Q161" s="50"/>
      <c r="R161" s="50">
        <f t="shared" si="79"/>
        <v>0</v>
      </c>
      <c r="S161" s="50"/>
      <c r="T161" s="50">
        <f t="shared" si="80"/>
        <v>0</v>
      </c>
      <c r="U161" s="50"/>
      <c r="V161" s="50">
        <f t="shared" si="81"/>
        <v>0</v>
      </c>
      <c r="W161" s="50"/>
      <c r="X161" s="50">
        <f t="shared" ref="X161:X187" si="95">+D161*W161</f>
        <v>0</v>
      </c>
      <c r="Y161" s="50"/>
      <c r="Z161" s="50">
        <f t="shared" ref="Z161:Z187" si="96">+D161*Y161</f>
        <v>0</v>
      </c>
      <c r="AA161" s="50"/>
      <c r="AB161" s="50">
        <f t="shared" ref="AB161:AB187" si="97">+D161*AA161</f>
        <v>0</v>
      </c>
      <c r="AC161" s="50"/>
      <c r="AD161" s="50"/>
      <c r="AE161" s="50"/>
      <c r="AF161" s="50">
        <f t="shared" ref="AF161:AF187" si="98">+D161*AE161</f>
        <v>0</v>
      </c>
      <c r="AG161" s="50"/>
      <c r="AH161" s="50">
        <f t="shared" ref="AH161:AH187" si="99">+D161*AG161</f>
        <v>0</v>
      </c>
      <c r="AI161" s="50"/>
      <c r="AJ161" s="50">
        <f t="shared" ref="AJ161:AJ187" si="100">+D161*AI161</f>
        <v>0</v>
      </c>
      <c r="AK161" s="50"/>
      <c r="AL161" s="50">
        <f t="shared" ref="AL161:AL187" si="101">D161*AK161</f>
        <v>0</v>
      </c>
      <c r="AM161" s="50"/>
      <c r="AN161" s="50">
        <f t="shared" ref="AN161:AN187" si="102">D161*AM161</f>
        <v>0</v>
      </c>
      <c r="AO161" s="50"/>
      <c r="AP161" s="50">
        <f t="shared" ref="AP161:AP187" si="103">+D161*AO161</f>
        <v>0</v>
      </c>
      <c r="AQ161" s="50"/>
      <c r="AR161" s="50">
        <f t="shared" ref="AR161:AR187" si="104">+AQ161*D161</f>
        <v>0</v>
      </c>
      <c r="AS161" s="50"/>
      <c r="AT161" s="50">
        <f t="shared" ref="AT161:AT187" si="105">+D161*AS161</f>
        <v>0</v>
      </c>
      <c r="AU161" s="260"/>
      <c r="AV161" s="260">
        <f t="shared" ref="AV161:AV187" si="106">D161*AU161</f>
        <v>0</v>
      </c>
    </row>
    <row r="162" spans="1:48" x14ac:dyDescent="0.2">
      <c r="A162" s="534" t="s">
        <v>323</v>
      </c>
      <c r="B162" s="48" t="s">
        <v>227</v>
      </c>
      <c r="C162" s="49">
        <v>3.47</v>
      </c>
      <c r="D162" s="49">
        <f t="shared" si="82"/>
        <v>3.47</v>
      </c>
      <c r="E162" s="50"/>
      <c r="F162" s="50">
        <f t="shared" si="74"/>
        <v>0</v>
      </c>
      <c r="G162" s="50"/>
      <c r="H162" s="50">
        <f t="shared" si="75"/>
        <v>0</v>
      </c>
      <c r="I162" s="50"/>
      <c r="J162" s="50">
        <f t="shared" si="76"/>
        <v>0</v>
      </c>
      <c r="K162" s="50"/>
      <c r="L162" s="50">
        <f t="shared" si="77"/>
        <v>0</v>
      </c>
      <c r="M162" s="50"/>
      <c r="N162" s="50">
        <f t="shared" si="78"/>
        <v>0</v>
      </c>
      <c r="O162" s="50"/>
      <c r="P162" s="50"/>
      <c r="Q162" s="50"/>
      <c r="R162" s="50">
        <f t="shared" si="79"/>
        <v>0</v>
      </c>
      <c r="S162" s="50"/>
      <c r="T162" s="50">
        <f t="shared" si="80"/>
        <v>0</v>
      </c>
      <c r="U162" s="50"/>
      <c r="V162" s="50">
        <f t="shared" si="81"/>
        <v>0</v>
      </c>
      <c r="W162" s="50"/>
      <c r="X162" s="50">
        <f t="shared" si="95"/>
        <v>0</v>
      </c>
      <c r="Y162" s="50"/>
      <c r="Z162" s="50">
        <f t="shared" si="96"/>
        <v>0</v>
      </c>
      <c r="AA162" s="50"/>
      <c r="AB162" s="50">
        <f t="shared" si="97"/>
        <v>0</v>
      </c>
      <c r="AC162" s="50"/>
      <c r="AD162" s="50"/>
      <c r="AE162" s="50"/>
      <c r="AF162" s="50">
        <f t="shared" si="98"/>
        <v>0</v>
      </c>
      <c r="AG162" s="50"/>
      <c r="AH162" s="50">
        <f t="shared" si="99"/>
        <v>0</v>
      </c>
      <c r="AI162" s="50"/>
      <c r="AJ162" s="50">
        <f t="shared" si="100"/>
        <v>0</v>
      </c>
      <c r="AK162" s="50"/>
      <c r="AL162" s="50">
        <f t="shared" si="101"/>
        <v>0</v>
      </c>
      <c r="AM162" s="50"/>
      <c r="AN162" s="50">
        <f t="shared" si="102"/>
        <v>0</v>
      </c>
      <c r="AO162" s="50"/>
      <c r="AP162" s="50">
        <f t="shared" si="103"/>
        <v>0</v>
      </c>
      <c r="AQ162" s="50"/>
      <c r="AR162" s="50">
        <f t="shared" si="104"/>
        <v>0</v>
      </c>
      <c r="AS162" s="50"/>
      <c r="AT162" s="50">
        <f t="shared" si="105"/>
        <v>0</v>
      </c>
      <c r="AU162" s="260"/>
      <c r="AV162" s="260">
        <f t="shared" si="106"/>
        <v>0</v>
      </c>
    </row>
    <row r="163" spans="1:48" x14ac:dyDescent="0.2">
      <c r="A163" s="534" t="s">
        <v>324</v>
      </c>
      <c r="B163" s="48" t="s">
        <v>227</v>
      </c>
      <c r="C163" s="49">
        <v>3.57</v>
      </c>
      <c r="D163" s="49">
        <f t="shared" si="82"/>
        <v>3.57</v>
      </c>
      <c r="E163" s="50"/>
      <c r="F163" s="50">
        <f t="shared" si="74"/>
        <v>0</v>
      </c>
      <c r="G163" s="50"/>
      <c r="H163" s="50">
        <f t="shared" si="75"/>
        <v>0</v>
      </c>
      <c r="I163" s="50"/>
      <c r="J163" s="50">
        <f t="shared" si="76"/>
        <v>0</v>
      </c>
      <c r="K163" s="50"/>
      <c r="L163" s="50">
        <f t="shared" si="77"/>
        <v>0</v>
      </c>
      <c r="M163" s="50"/>
      <c r="N163" s="50">
        <f t="shared" si="78"/>
        <v>0</v>
      </c>
      <c r="O163" s="50"/>
      <c r="P163" s="50"/>
      <c r="Q163" s="50"/>
      <c r="R163" s="50">
        <f t="shared" si="79"/>
        <v>0</v>
      </c>
      <c r="S163" s="50"/>
      <c r="T163" s="50">
        <f t="shared" si="80"/>
        <v>0</v>
      </c>
      <c r="U163" s="50"/>
      <c r="V163" s="50">
        <f t="shared" si="81"/>
        <v>0</v>
      </c>
      <c r="W163" s="50"/>
      <c r="X163" s="50">
        <f t="shared" si="95"/>
        <v>0</v>
      </c>
      <c r="Y163" s="50"/>
      <c r="Z163" s="50">
        <f t="shared" si="96"/>
        <v>0</v>
      </c>
      <c r="AA163" s="50"/>
      <c r="AB163" s="50">
        <f t="shared" si="97"/>
        <v>0</v>
      </c>
      <c r="AC163" s="50"/>
      <c r="AD163" s="50"/>
      <c r="AE163" s="50"/>
      <c r="AF163" s="50">
        <f t="shared" si="98"/>
        <v>0</v>
      </c>
      <c r="AG163" s="50"/>
      <c r="AH163" s="50">
        <f t="shared" si="99"/>
        <v>0</v>
      </c>
      <c r="AI163" s="50"/>
      <c r="AJ163" s="50">
        <f t="shared" si="100"/>
        <v>0</v>
      </c>
      <c r="AK163" s="50"/>
      <c r="AL163" s="50">
        <f t="shared" si="101"/>
        <v>0</v>
      </c>
      <c r="AM163" s="50"/>
      <c r="AN163" s="50">
        <f t="shared" si="102"/>
        <v>0</v>
      </c>
      <c r="AO163" s="50"/>
      <c r="AP163" s="50">
        <f t="shared" si="103"/>
        <v>0</v>
      </c>
      <c r="AQ163" s="50"/>
      <c r="AR163" s="50">
        <f t="shared" si="104"/>
        <v>0</v>
      </c>
      <c r="AS163" s="50"/>
      <c r="AT163" s="50">
        <f t="shared" si="105"/>
        <v>0</v>
      </c>
      <c r="AU163" s="260"/>
      <c r="AV163" s="260">
        <f t="shared" si="106"/>
        <v>0</v>
      </c>
    </row>
    <row r="164" spans="1:48" x14ac:dyDescent="0.2">
      <c r="A164" s="534" t="s">
        <v>325</v>
      </c>
      <c r="B164" s="48" t="s">
        <v>227</v>
      </c>
      <c r="C164" s="49">
        <v>1.26</v>
      </c>
      <c r="D164" s="49">
        <f t="shared" si="82"/>
        <v>1.26</v>
      </c>
      <c r="E164" s="50"/>
      <c r="F164" s="50">
        <f t="shared" si="74"/>
        <v>0</v>
      </c>
      <c r="G164" s="50"/>
      <c r="H164" s="50">
        <f t="shared" si="75"/>
        <v>0</v>
      </c>
      <c r="I164" s="50"/>
      <c r="J164" s="50">
        <f t="shared" si="76"/>
        <v>0</v>
      </c>
      <c r="K164" s="50"/>
      <c r="L164" s="50">
        <f t="shared" si="77"/>
        <v>0</v>
      </c>
      <c r="M164" s="50"/>
      <c r="N164" s="50">
        <f t="shared" si="78"/>
        <v>0</v>
      </c>
      <c r="O164" s="50"/>
      <c r="P164" s="50"/>
      <c r="Q164" s="50"/>
      <c r="R164" s="50">
        <f t="shared" si="79"/>
        <v>0</v>
      </c>
      <c r="S164" s="50"/>
      <c r="T164" s="50">
        <f t="shared" si="80"/>
        <v>0</v>
      </c>
      <c r="U164" s="50"/>
      <c r="V164" s="50">
        <f t="shared" si="81"/>
        <v>0</v>
      </c>
      <c r="W164" s="50"/>
      <c r="X164" s="50">
        <f t="shared" si="95"/>
        <v>0</v>
      </c>
      <c r="Y164" s="50"/>
      <c r="Z164" s="50">
        <f t="shared" si="96"/>
        <v>0</v>
      </c>
      <c r="AA164" s="50"/>
      <c r="AB164" s="50">
        <f t="shared" si="97"/>
        <v>0</v>
      </c>
      <c r="AC164" s="50"/>
      <c r="AD164" s="50"/>
      <c r="AE164" s="50"/>
      <c r="AF164" s="50">
        <f t="shared" si="98"/>
        <v>0</v>
      </c>
      <c r="AG164" s="50"/>
      <c r="AH164" s="50">
        <f t="shared" si="99"/>
        <v>0</v>
      </c>
      <c r="AI164" s="50"/>
      <c r="AJ164" s="50">
        <f t="shared" si="100"/>
        <v>0</v>
      </c>
      <c r="AK164" s="50"/>
      <c r="AL164" s="50">
        <f t="shared" si="101"/>
        <v>0</v>
      </c>
      <c r="AM164" s="50"/>
      <c r="AN164" s="50">
        <f t="shared" si="102"/>
        <v>0</v>
      </c>
      <c r="AO164" s="50"/>
      <c r="AP164" s="50">
        <f t="shared" si="103"/>
        <v>0</v>
      </c>
      <c r="AQ164" s="50"/>
      <c r="AR164" s="50">
        <f t="shared" si="104"/>
        <v>0</v>
      </c>
      <c r="AS164" s="50"/>
      <c r="AT164" s="50">
        <f t="shared" si="105"/>
        <v>0</v>
      </c>
      <c r="AU164" s="260"/>
      <c r="AV164" s="260">
        <f t="shared" si="106"/>
        <v>0</v>
      </c>
    </row>
    <row r="165" spans="1:48" x14ac:dyDescent="0.2">
      <c r="A165" s="534" t="s">
        <v>326</v>
      </c>
      <c r="B165" s="48" t="s">
        <v>227</v>
      </c>
      <c r="C165" s="49">
        <v>2.4700000000000002</v>
      </c>
      <c r="D165" s="49">
        <f t="shared" si="82"/>
        <v>2.4700000000000002</v>
      </c>
      <c r="E165" s="50"/>
      <c r="F165" s="50">
        <f t="shared" si="74"/>
        <v>0</v>
      </c>
      <c r="G165" s="50"/>
      <c r="H165" s="50">
        <f t="shared" si="75"/>
        <v>0</v>
      </c>
      <c r="I165" s="50"/>
      <c r="J165" s="50">
        <f t="shared" si="76"/>
        <v>0</v>
      </c>
      <c r="K165" s="50"/>
      <c r="L165" s="50">
        <f t="shared" si="77"/>
        <v>0</v>
      </c>
      <c r="M165" s="50"/>
      <c r="N165" s="50">
        <f t="shared" si="78"/>
        <v>0</v>
      </c>
      <c r="O165" s="50"/>
      <c r="P165" s="50"/>
      <c r="Q165" s="50"/>
      <c r="R165" s="50">
        <f t="shared" si="79"/>
        <v>0</v>
      </c>
      <c r="S165" s="50"/>
      <c r="T165" s="50">
        <f t="shared" si="80"/>
        <v>0</v>
      </c>
      <c r="U165" s="50"/>
      <c r="V165" s="50">
        <f t="shared" si="81"/>
        <v>0</v>
      </c>
      <c r="W165" s="50"/>
      <c r="X165" s="50">
        <f t="shared" si="95"/>
        <v>0</v>
      </c>
      <c r="Y165" s="50"/>
      <c r="Z165" s="50">
        <f t="shared" si="96"/>
        <v>0</v>
      </c>
      <c r="AA165" s="50"/>
      <c r="AB165" s="50">
        <f t="shared" si="97"/>
        <v>0</v>
      </c>
      <c r="AC165" s="50"/>
      <c r="AD165" s="50"/>
      <c r="AE165" s="50"/>
      <c r="AF165" s="50">
        <f t="shared" si="98"/>
        <v>0</v>
      </c>
      <c r="AG165" s="50"/>
      <c r="AH165" s="50">
        <f t="shared" si="99"/>
        <v>0</v>
      </c>
      <c r="AI165" s="50"/>
      <c r="AJ165" s="50">
        <f t="shared" si="100"/>
        <v>0</v>
      </c>
      <c r="AK165" s="50"/>
      <c r="AL165" s="50">
        <f t="shared" si="101"/>
        <v>0</v>
      </c>
      <c r="AM165" s="50"/>
      <c r="AN165" s="50">
        <f t="shared" si="102"/>
        <v>0</v>
      </c>
      <c r="AO165" s="50"/>
      <c r="AP165" s="50">
        <f t="shared" si="103"/>
        <v>0</v>
      </c>
      <c r="AQ165" s="50"/>
      <c r="AR165" s="50">
        <f t="shared" si="104"/>
        <v>0</v>
      </c>
      <c r="AS165" s="50"/>
      <c r="AT165" s="50">
        <f t="shared" si="105"/>
        <v>0</v>
      </c>
      <c r="AU165" s="260"/>
      <c r="AV165" s="260">
        <f t="shared" si="106"/>
        <v>0</v>
      </c>
    </row>
    <row r="166" spans="1:48" x14ac:dyDescent="0.2">
      <c r="A166" s="534" t="s">
        <v>327</v>
      </c>
      <c r="B166" s="48" t="s">
        <v>227</v>
      </c>
      <c r="C166" s="49">
        <v>4.88</v>
      </c>
      <c r="D166" s="49">
        <f t="shared" si="82"/>
        <v>4.88</v>
      </c>
      <c r="E166" s="50"/>
      <c r="F166" s="50">
        <f t="shared" si="74"/>
        <v>0</v>
      </c>
      <c r="G166" s="50"/>
      <c r="H166" s="50">
        <f t="shared" si="75"/>
        <v>0</v>
      </c>
      <c r="I166" s="50"/>
      <c r="J166" s="50">
        <f t="shared" si="76"/>
        <v>0</v>
      </c>
      <c r="K166" s="50"/>
      <c r="L166" s="50">
        <f t="shared" si="77"/>
        <v>0</v>
      </c>
      <c r="M166" s="50"/>
      <c r="N166" s="50">
        <f t="shared" si="78"/>
        <v>0</v>
      </c>
      <c r="O166" s="50"/>
      <c r="P166" s="50"/>
      <c r="Q166" s="50"/>
      <c r="R166" s="50">
        <f t="shared" si="79"/>
        <v>0</v>
      </c>
      <c r="S166" s="50"/>
      <c r="T166" s="50">
        <f t="shared" si="80"/>
        <v>0</v>
      </c>
      <c r="U166" s="50"/>
      <c r="V166" s="50">
        <f t="shared" si="81"/>
        <v>0</v>
      </c>
      <c r="W166" s="50"/>
      <c r="X166" s="50">
        <f t="shared" si="95"/>
        <v>0</v>
      </c>
      <c r="Y166" s="50"/>
      <c r="Z166" s="50">
        <f t="shared" si="96"/>
        <v>0</v>
      </c>
      <c r="AA166" s="50"/>
      <c r="AB166" s="50">
        <f t="shared" si="97"/>
        <v>0</v>
      </c>
      <c r="AC166" s="50"/>
      <c r="AD166" s="50"/>
      <c r="AE166" s="50"/>
      <c r="AF166" s="50">
        <f t="shared" si="98"/>
        <v>0</v>
      </c>
      <c r="AG166" s="50"/>
      <c r="AH166" s="50">
        <f t="shared" si="99"/>
        <v>0</v>
      </c>
      <c r="AI166" s="50"/>
      <c r="AJ166" s="50">
        <f t="shared" si="100"/>
        <v>0</v>
      </c>
      <c r="AK166" s="50"/>
      <c r="AL166" s="50">
        <f t="shared" si="101"/>
        <v>0</v>
      </c>
      <c r="AM166" s="50"/>
      <c r="AN166" s="50">
        <f t="shared" si="102"/>
        <v>0</v>
      </c>
      <c r="AO166" s="50"/>
      <c r="AP166" s="50">
        <f t="shared" si="103"/>
        <v>0</v>
      </c>
      <c r="AQ166" s="50"/>
      <c r="AR166" s="50">
        <f t="shared" si="104"/>
        <v>0</v>
      </c>
      <c r="AS166" s="50"/>
      <c r="AT166" s="50">
        <f t="shared" si="105"/>
        <v>0</v>
      </c>
      <c r="AU166" s="260"/>
      <c r="AV166" s="260">
        <f t="shared" si="106"/>
        <v>0</v>
      </c>
    </row>
    <row r="167" spans="1:48" x14ac:dyDescent="0.2">
      <c r="A167" s="534" t="s">
        <v>328</v>
      </c>
      <c r="B167" s="48" t="s">
        <v>227</v>
      </c>
      <c r="C167" s="49">
        <v>0.94</v>
      </c>
      <c r="D167" s="49">
        <f t="shared" si="82"/>
        <v>0.94</v>
      </c>
      <c r="E167" s="50"/>
      <c r="F167" s="50">
        <f t="shared" si="74"/>
        <v>0</v>
      </c>
      <c r="G167" s="50"/>
      <c r="H167" s="50">
        <f t="shared" si="75"/>
        <v>0</v>
      </c>
      <c r="I167" s="50"/>
      <c r="J167" s="50">
        <f t="shared" si="76"/>
        <v>0</v>
      </c>
      <c r="K167" s="50"/>
      <c r="L167" s="50">
        <f t="shared" si="77"/>
        <v>0</v>
      </c>
      <c r="M167" s="50"/>
      <c r="N167" s="50">
        <f t="shared" si="78"/>
        <v>0</v>
      </c>
      <c r="O167" s="50"/>
      <c r="P167" s="50"/>
      <c r="Q167" s="50"/>
      <c r="R167" s="50">
        <f t="shared" si="79"/>
        <v>0</v>
      </c>
      <c r="S167" s="50"/>
      <c r="T167" s="50">
        <f t="shared" si="80"/>
        <v>0</v>
      </c>
      <c r="U167" s="50"/>
      <c r="V167" s="50">
        <f t="shared" si="81"/>
        <v>0</v>
      </c>
      <c r="W167" s="50"/>
      <c r="X167" s="50">
        <f t="shared" si="95"/>
        <v>0</v>
      </c>
      <c r="Y167" s="50"/>
      <c r="Z167" s="50">
        <f t="shared" si="96"/>
        <v>0</v>
      </c>
      <c r="AA167" s="50"/>
      <c r="AB167" s="50">
        <f t="shared" si="97"/>
        <v>0</v>
      </c>
      <c r="AC167" s="50"/>
      <c r="AD167" s="479">
        <f>D167*AC167</f>
        <v>0</v>
      </c>
      <c r="AE167" s="50"/>
      <c r="AF167" s="50">
        <f t="shared" si="98"/>
        <v>0</v>
      </c>
      <c r="AG167" s="50"/>
      <c r="AH167" s="50">
        <f t="shared" si="99"/>
        <v>0</v>
      </c>
      <c r="AI167" s="50"/>
      <c r="AJ167" s="50">
        <f t="shared" si="100"/>
        <v>0</v>
      </c>
      <c r="AK167" s="50"/>
      <c r="AL167" s="50">
        <f t="shared" si="101"/>
        <v>0</v>
      </c>
      <c r="AM167" s="50"/>
      <c r="AN167" s="50">
        <f t="shared" si="102"/>
        <v>0</v>
      </c>
      <c r="AO167" s="50"/>
      <c r="AP167" s="50">
        <f t="shared" si="103"/>
        <v>0</v>
      </c>
      <c r="AQ167" s="50">
        <v>1</v>
      </c>
      <c r="AR167" s="479">
        <f t="shared" si="104"/>
        <v>0.94</v>
      </c>
      <c r="AS167" s="50"/>
      <c r="AT167" s="50">
        <f t="shared" si="105"/>
        <v>0</v>
      </c>
      <c r="AU167" s="260"/>
      <c r="AV167" s="27">
        <f t="shared" si="106"/>
        <v>0</v>
      </c>
    </row>
    <row r="168" spans="1:48" x14ac:dyDescent="0.2">
      <c r="A168" s="534" t="s">
        <v>329</v>
      </c>
      <c r="B168" s="48" t="s">
        <v>227</v>
      </c>
      <c r="C168" s="49">
        <v>1.1599999999999999</v>
      </c>
      <c r="D168" s="49">
        <f t="shared" si="82"/>
        <v>1.1599999999999999</v>
      </c>
      <c r="E168" s="50"/>
      <c r="F168" s="50">
        <f t="shared" si="74"/>
        <v>0</v>
      </c>
      <c r="G168" s="50"/>
      <c r="H168" s="50">
        <f t="shared" si="75"/>
        <v>0</v>
      </c>
      <c r="I168" s="50"/>
      <c r="J168" s="50">
        <f t="shared" si="76"/>
        <v>0</v>
      </c>
      <c r="K168" s="50"/>
      <c r="L168" s="50">
        <f t="shared" si="77"/>
        <v>0</v>
      </c>
      <c r="M168" s="50"/>
      <c r="N168" s="50">
        <f t="shared" si="78"/>
        <v>0</v>
      </c>
      <c r="O168" s="50"/>
      <c r="P168" s="50"/>
      <c r="Q168" s="50"/>
      <c r="R168" s="50">
        <f t="shared" si="79"/>
        <v>0</v>
      </c>
      <c r="S168" s="50"/>
      <c r="T168" s="50">
        <f t="shared" si="80"/>
        <v>0</v>
      </c>
      <c r="U168" s="50"/>
      <c r="V168" s="50">
        <f t="shared" si="81"/>
        <v>0</v>
      </c>
      <c r="W168" s="50"/>
      <c r="X168" s="50">
        <f t="shared" si="95"/>
        <v>0</v>
      </c>
      <c r="Y168" s="50"/>
      <c r="Z168" s="50">
        <f t="shared" si="96"/>
        <v>0</v>
      </c>
      <c r="AA168" s="50"/>
      <c r="AB168" s="50">
        <f t="shared" si="97"/>
        <v>0</v>
      </c>
      <c r="AC168" s="50"/>
      <c r="AD168" s="50"/>
      <c r="AE168" s="50"/>
      <c r="AF168" s="50">
        <f t="shared" si="98"/>
        <v>0</v>
      </c>
      <c r="AG168" s="50"/>
      <c r="AH168" s="50">
        <f t="shared" si="99"/>
        <v>0</v>
      </c>
      <c r="AI168" s="50"/>
      <c r="AJ168" s="50">
        <f t="shared" si="100"/>
        <v>0</v>
      </c>
      <c r="AK168" s="50"/>
      <c r="AL168" s="50">
        <f t="shared" si="101"/>
        <v>0</v>
      </c>
      <c r="AM168" s="50"/>
      <c r="AN168" s="50">
        <f t="shared" si="102"/>
        <v>0</v>
      </c>
      <c r="AO168" s="50"/>
      <c r="AP168" s="50">
        <f t="shared" si="103"/>
        <v>0</v>
      </c>
      <c r="AQ168" s="50"/>
      <c r="AR168" s="50">
        <f t="shared" si="104"/>
        <v>0</v>
      </c>
      <c r="AS168" s="50"/>
      <c r="AT168" s="50">
        <f t="shared" si="105"/>
        <v>0</v>
      </c>
      <c r="AU168" s="260"/>
      <c r="AV168" s="260">
        <f t="shared" si="106"/>
        <v>0</v>
      </c>
    </row>
    <row r="169" spans="1:48" x14ac:dyDescent="0.2">
      <c r="A169" s="534" t="s">
        <v>330</v>
      </c>
      <c r="B169" s="48" t="s">
        <v>227</v>
      </c>
      <c r="C169" s="49">
        <v>0.95</v>
      </c>
      <c r="D169" s="49">
        <f t="shared" si="82"/>
        <v>0.95</v>
      </c>
      <c r="E169" s="50"/>
      <c r="F169" s="50">
        <f t="shared" si="74"/>
        <v>0</v>
      </c>
      <c r="G169" s="50"/>
      <c r="H169" s="50">
        <f t="shared" si="75"/>
        <v>0</v>
      </c>
      <c r="I169" s="50"/>
      <c r="J169" s="50">
        <f t="shared" si="76"/>
        <v>0</v>
      </c>
      <c r="K169" s="50"/>
      <c r="L169" s="50">
        <f t="shared" si="77"/>
        <v>0</v>
      </c>
      <c r="M169" s="50"/>
      <c r="N169" s="50">
        <f t="shared" si="78"/>
        <v>0</v>
      </c>
      <c r="O169" s="50"/>
      <c r="P169" s="50"/>
      <c r="Q169" s="50"/>
      <c r="R169" s="50">
        <f t="shared" si="79"/>
        <v>0</v>
      </c>
      <c r="S169" s="50"/>
      <c r="T169" s="50">
        <f t="shared" si="80"/>
        <v>0</v>
      </c>
      <c r="U169" s="50"/>
      <c r="V169" s="50">
        <f t="shared" si="81"/>
        <v>0</v>
      </c>
      <c r="W169" s="50"/>
      <c r="X169" s="50">
        <f t="shared" si="95"/>
        <v>0</v>
      </c>
      <c r="Y169" s="50"/>
      <c r="Z169" s="50">
        <f t="shared" si="96"/>
        <v>0</v>
      </c>
      <c r="AA169" s="50"/>
      <c r="AB169" s="50">
        <f t="shared" si="97"/>
        <v>0</v>
      </c>
      <c r="AC169" s="50"/>
      <c r="AD169" s="50"/>
      <c r="AE169" s="50"/>
      <c r="AF169" s="50">
        <f t="shared" si="98"/>
        <v>0</v>
      </c>
      <c r="AG169" s="50"/>
      <c r="AH169" s="50">
        <f t="shared" si="99"/>
        <v>0</v>
      </c>
      <c r="AI169" s="50"/>
      <c r="AJ169" s="50">
        <f t="shared" si="100"/>
        <v>0</v>
      </c>
      <c r="AK169" s="50"/>
      <c r="AL169" s="50">
        <f t="shared" si="101"/>
        <v>0</v>
      </c>
      <c r="AM169" s="50"/>
      <c r="AN169" s="50">
        <f t="shared" si="102"/>
        <v>0</v>
      </c>
      <c r="AO169" s="50"/>
      <c r="AP169" s="50">
        <f t="shared" si="103"/>
        <v>0</v>
      </c>
      <c r="AQ169" s="50"/>
      <c r="AR169" s="50">
        <f t="shared" si="104"/>
        <v>0</v>
      </c>
      <c r="AS169" s="50"/>
      <c r="AT169" s="50">
        <f t="shared" si="105"/>
        <v>0</v>
      </c>
      <c r="AU169" s="260"/>
      <c r="AV169" s="260">
        <f t="shared" si="106"/>
        <v>0</v>
      </c>
    </row>
    <row r="170" spans="1:48" x14ac:dyDescent="0.2">
      <c r="A170" s="534" t="s">
        <v>331</v>
      </c>
      <c r="B170" s="48" t="s">
        <v>227</v>
      </c>
      <c r="C170" s="49">
        <v>1.26</v>
      </c>
      <c r="D170" s="49">
        <f t="shared" si="82"/>
        <v>1.26</v>
      </c>
      <c r="E170" s="50"/>
      <c r="F170" s="50">
        <f t="shared" si="74"/>
        <v>0</v>
      </c>
      <c r="G170" s="50"/>
      <c r="H170" s="50">
        <f t="shared" si="75"/>
        <v>0</v>
      </c>
      <c r="I170" s="50"/>
      <c r="J170" s="50">
        <f t="shared" si="76"/>
        <v>0</v>
      </c>
      <c r="K170" s="50"/>
      <c r="L170" s="50">
        <f t="shared" si="77"/>
        <v>0</v>
      </c>
      <c r="M170" s="50"/>
      <c r="N170" s="50">
        <f t="shared" si="78"/>
        <v>0</v>
      </c>
      <c r="O170" s="50"/>
      <c r="P170" s="50"/>
      <c r="Q170" s="50"/>
      <c r="R170" s="50">
        <f t="shared" si="79"/>
        <v>0</v>
      </c>
      <c r="S170" s="50"/>
      <c r="T170" s="50">
        <f t="shared" si="80"/>
        <v>0</v>
      </c>
      <c r="U170" s="50"/>
      <c r="V170" s="50">
        <f t="shared" si="81"/>
        <v>0</v>
      </c>
      <c r="W170" s="50"/>
      <c r="X170" s="50">
        <f t="shared" si="95"/>
        <v>0</v>
      </c>
      <c r="Y170" s="50"/>
      <c r="Z170" s="50">
        <f t="shared" si="96"/>
        <v>0</v>
      </c>
      <c r="AA170" s="50"/>
      <c r="AB170" s="50">
        <f t="shared" si="97"/>
        <v>0</v>
      </c>
      <c r="AC170" s="50"/>
      <c r="AD170" s="50"/>
      <c r="AE170" s="50"/>
      <c r="AF170" s="50">
        <f t="shared" si="98"/>
        <v>0</v>
      </c>
      <c r="AG170" s="50"/>
      <c r="AH170" s="50">
        <f t="shared" si="99"/>
        <v>0</v>
      </c>
      <c r="AI170" s="50"/>
      <c r="AJ170" s="50">
        <f t="shared" si="100"/>
        <v>0</v>
      </c>
      <c r="AK170" s="50"/>
      <c r="AL170" s="50">
        <f t="shared" si="101"/>
        <v>0</v>
      </c>
      <c r="AM170" s="50"/>
      <c r="AN170" s="50">
        <f t="shared" si="102"/>
        <v>0</v>
      </c>
      <c r="AO170" s="50"/>
      <c r="AP170" s="50">
        <f t="shared" si="103"/>
        <v>0</v>
      </c>
      <c r="AQ170" s="50"/>
      <c r="AR170" s="50">
        <f t="shared" si="104"/>
        <v>0</v>
      </c>
      <c r="AS170" s="50"/>
      <c r="AT170" s="50">
        <f t="shared" si="105"/>
        <v>0</v>
      </c>
      <c r="AU170" s="260"/>
      <c r="AV170" s="260">
        <f t="shared" si="106"/>
        <v>0</v>
      </c>
    </row>
    <row r="171" spans="1:48" x14ac:dyDescent="0.2">
      <c r="A171" s="534" t="s">
        <v>332</v>
      </c>
      <c r="B171" s="48" t="s">
        <v>61</v>
      </c>
      <c r="C171" s="49">
        <v>1840</v>
      </c>
      <c r="D171" s="49">
        <f t="shared" si="82"/>
        <v>1840</v>
      </c>
      <c r="E171" s="50"/>
      <c r="F171" s="50">
        <f t="shared" si="74"/>
        <v>0</v>
      </c>
      <c r="G171" s="50"/>
      <c r="H171" s="50">
        <f t="shared" si="75"/>
        <v>0</v>
      </c>
      <c r="I171" s="50"/>
      <c r="J171" s="50">
        <f t="shared" si="76"/>
        <v>0</v>
      </c>
      <c r="K171" s="50"/>
      <c r="L171" s="50">
        <f t="shared" si="77"/>
        <v>0</v>
      </c>
      <c r="M171" s="50"/>
      <c r="N171" s="50">
        <f t="shared" si="78"/>
        <v>0</v>
      </c>
      <c r="O171" s="50"/>
      <c r="P171" s="50"/>
      <c r="Q171" s="50"/>
      <c r="R171" s="50">
        <f t="shared" si="79"/>
        <v>0</v>
      </c>
      <c r="S171" s="50"/>
      <c r="T171" s="50">
        <f t="shared" si="80"/>
        <v>0</v>
      </c>
      <c r="U171" s="50"/>
      <c r="V171" s="50">
        <f t="shared" si="81"/>
        <v>0</v>
      </c>
      <c r="W171" s="50"/>
      <c r="X171" s="50">
        <f t="shared" si="95"/>
        <v>0</v>
      </c>
      <c r="Y171" s="50"/>
      <c r="Z171" s="50">
        <f t="shared" si="96"/>
        <v>0</v>
      </c>
      <c r="AA171" s="50"/>
      <c r="AB171" s="50">
        <f t="shared" si="97"/>
        <v>0</v>
      </c>
      <c r="AC171" s="50"/>
      <c r="AD171" s="50"/>
      <c r="AE171" s="50"/>
      <c r="AF171" s="50">
        <f t="shared" si="98"/>
        <v>0</v>
      </c>
      <c r="AG171" s="50"/>
      <c r="AH171" s="50">
        <f t="shared" si="99"/>
        <v>0</v>
      </c>
      <c r="AI171" s="50"/>
      <c r="AJ171" s="50">
        <f t="shared" si="100"/>
        <v>0</v>
      </c>
      <c r="AK171" s="50"/>
      <c r="AL171" s="50">
        <f t="shared" si="101"/>
        <v>0</v>
      </c>
      <c r="AM171" s="50"/>
      <c r="AN171" s="50">
        <f t="shared" si="102"/>
        <v>0</v>
      </c>
      <c r="AO171" s="50"/>
      <c r="AP171" s="50">
        <f t="shared" si="103"/>
        <v>0</v>
      </c>
      <c r="AQ171" s="50"/>
      <c r="AR171" s="50">
        <f t="shared" si="104"/>
        <v>0</v>
      </c>
      <c r="AS171" s="50"/>
      <c r="AT171" s="50">
        <f t="shared" si="105"/>
        <v>0</v>
      </c>
      <c r="AU171" s="260"/>
      <c r="AV171" s="260">
        <f t="shared" si="106"/>
        <v>0</v>
      </c>
    </row>
    <row r="172" spans="1:48" x14ac:dyDescent="0.2">
      <c r="A172" s="534" t="s">
        <v>333</v>
      </c>
      <c r="B172" s="48" t="s">
        <v>61</v>
      </c>
      <c r="C172" s="49">
        <v>7710</v>
      </c>
      <c r="D172" s="49">
        <f t="shared" si="82"/>
        <v>7710</v>
      </c>
      <c r="E172" s="50"/>
      <c r="F172" s="50">
        <f t="shared" si="74"/>
        <v>0</v>
      </c>
      <c r="G172" s="50"/>
      <c r="H172" s="50">
        <f t="shared" si="75"/>
        <v>0</v>
      </c>
      <c r="I172" s="50"/>
      <c r="J172" s="50">
        <f t="shared" si="76"/>
        <v>0</v>
      </c>
      <c r="K172" s="50"/>
      <c r="L172" s="50">
        <f t="shared" si="77"/>
        <v>0</v>
      </c>
      <c r="M172" s="50"/>
      <c r="N172" s="50">
        <f t="shared" si="78"/>
        <v>0</v>
      </c>
      <c r="O172" s="50"/>
      <c r="P172" s="50"/>
      <c r="Q172" s="50"/>
      <c r="R172" s="50">
        <f t="shared" si="79"/>
        <v>0</v>
      </c>
      <c r="S172" s="50"/>
      <c r="T172" s="50">
        <f t="shared" si="80"/>
        <v>0</v>
      </c>
      <c r="U172" s="50"/>
      <c r="V172" s="50">
        <f t="shared" si="81"/>
        <v>0</v>
      </c>
      <c r="W172" s="50"/>
      <c r="X172" s="50">
        <f t="shared" si="95"/>
        <v>0</v>
      </c>
      <c r="Y172" s="50"/>
      <c r="Z172" s="50">
        <f t="shared" si="96"/>
        <v>0</v>
      </c>
      <c r="AA172" s="50"/>
      <c r="AB172" s="50">
        <f t="shared" si="97"/>
        <v>0</v>
      </c>
      <c r="AC172" s="50"/>
      <c r="AD172" s="50"/>
      <c r="AE172" s="50"/>
      <c r="AF172" s="50">
        <f t="shared" si="98"/>
        <v>0</v>
      </c>
      <c r="AG172" s="50"/>
      <c r="AH172" s="50">
        <f t="shared" si="99"/>
        <v>0</v>
      </c>
      <c r="AI172" s="50"/>
      <c r="AJ172" s="50">
        <f t="shared" si="100"/>
        <v>0</v>
      </c>
      <c r="AK172" s="50"/>
      <c r="AL172" s="50">
        <f t="shared" si="101"/>
        <v>0</v>
      </c>
      <c r="AM172" s="50"/>
      <c r="AN172" s="50">
        <f t="shared" si="102"/>
        <v>0</v>
      </c>
      <c r="AO172" s="50"/>
      <c r="AP172" s="50">
        <f t="shared" si="103"/>
        <v>0</v>
      </c>
      <c r="AQ172" s="50"/>
      <c r="AR172" s="50">
        <f t="shared" si="104"/>
        <v>0</v>
      </c>
      <c r="AS172" s="50"/>
      <c r="AT172" s="50">
        <f t="shared" si="105"/>
        <v>0</v>
      </c>
      <c r="AU172" s="260"/>
      <c r="AV172" s="260">
        <f t="shared" si="106"/>
        <v>0</v>
      </c>
    </row>
    <row r="173" spans="1:48" x14ac:dyDescent="0.2">
      <c r="A173" s="47" t="s">
        <v>334</v>
      </c>
      <c r="B173" s="48" t="s">
        <v>61</v>
      </c>
      <c r="C173" s="149">
        <f>4.78*1000</f>
        <v>4780</v>
      </c>
      <c r="D173" s="49">
        <f t="shared" si="82"/>
        <v>4780</v>
      </c>
      <c r="E173" s="50"/>
      <c r="F173" s="50">
        <f t="shared" si="74"/>
        <v>0</v>
      </c>
      <c r="G173" s="50"/>
      <c r="H173" s="50">
        <f t="shared" si="75"/>
        <v>0</v>
      </c>
      <c r="I173" s="50"/>
      <c r="J173" s="50">
        <f t="shared" si="76"/>
        <v>0</v>
      </c>
      <c r="K173" s="50"/>
      <c r="L173" s="50">
        <f t="shared" si="77"/>
        <v>0</v>
      </c>
      <c r="M173" s="50"/>
      <c r="N173" s="50">
        <f t="shared" si="78"/>
        <v>0</v>
      </c>
      <c r="O173" s="50"/>
      <c r="P173" s="50"/>
      <c r="Q173" s="50"/>
      <c r="R173" s="50">
        <f t="shared" si="79"/>
        <v>0</v>
      </c>
      <c r="S173" s="50"/>
      <c r="T173" s="50">
        <f t="shared" si="80"/>
        <v>0</v>
      </c>
      <c r="U173" s="50"/>
      <c r="V173" s="50">
        <f t="shared" si="81"/>
        <v>0</v>
      </c>
      <c r="W173" s="50"/>
      <c r="X173" s="50">
        <f t="shared" si="95"/>
        <v>0</v>
      </c>
      <c r="Y173" s="50"/>
      <c r="Z173" s="50">
        <f t="shared" si="96"/>
        <v>0</v>
      </c>
      <c r="AA173" s="50"/>
      <c r="AB173" s="50">
        <f t="shared" si="97"/>
        <v>0</v>
      </c>
      <c r="AC173" s="50"/>
      <c r="AD173" s="50"/>
      <c r="AE173" s="50"/>
      <c r="AF173" s="50">
        <f t="shared" si="98"/>
        <v>0</v>
      </c>
      <c r="AG173" s="50"/>
      <c r="AH173" s="50">
        <f t="shared" si="99"/>
        <v>0</v>
      </c>
      <c r="AI173" s="50"/>
      <c r="AJ173" s="50">
        <f t="shared" si="100"/>
        <v>0</v>
      </c>
      <c r="AK173" s="50"/>
      <c r="AL173" s="50">
        <f t="shared" si="101"/>
        <v>0</v>
      </c>
      <c r="AM173" s="50"/>
      <c r="AN173" s="50">
        <f t="shared" si="102"/>
        <v>0</v>
      </c>
      <c r="AO173" s="50"/>
      <c r="AP173" s="50">
        <f t="shared" si="103"/>
        <v>0</v>
      </c>
      <c r="AQ173" s="50"/>
      <c r="AR173" s="50">
        <f t="shared" si="104"/>
        <v>0</v>
      </c>
      <c r="AS173" s="50"/>
      <c r="AT173" s="50">
        <f t="shared" si="105"/>
        <v>0</v>
      </c>
      <c r="AU173" s="260"/>
      <c r="AV173" s="260">
        <f t="shared" si="106"/>
        <v>0</v>
      </c>
    </row>
    <row r="174" spans="1:48" x14ac:dyDescent="0.2">
      <c r="A174" s="47" t="s">
        <v>335</v>
      </c>
      <c r="B174" s="48" t="s">
        <v>61</v>
      </c>
      <c r="C174" s="149">
        <f>3.64*1000</f>
        <v>3640</v>
      </c>
      <c r="D174" s="49">
        <f t="shared" si="82"/>
        <v>3640</v>
      </c>
      <c r="E174" s="50"/>
      <c r="F174" s="50">
        <f t="shared" si="74"/>
        <v>0</v>
      </c>
      <c r="G174" s="50"/>
      <c r="H174" s="50">
        <f t="shared" si="75"/>
        <v>0</v>
      </c>
      <c r="I174" s="50"/>
      <c r="J174" s="50">
        <f t="shared" si="76"/>
        <v>0</v>
      </c>
      <c r="K174" s="50"/>
      <c r="L174" s="50">
        <f t="shared" si="77"/>
        <v>0</v>
      </c>
      <c r="M174" s="50"/>
      <c r="N174" s="50">
        <f t="shared" si="78"/>
        <v>0</v>
      </c>
      <c r="O174" s="50"/>
      <c r="P174" s="50"/>
      <c r="Q174" s="50"/>
      <c r="R174" s="50">
        <f t="shared" si="79"/>
        <v>0</v>
      </c>
      <c r="S174" s="50"/>
      <c r="T174" s="50">
        <f t="shared" si="80"/>
        <v>0</v>
      </c>
      <c r="U174" s="50"/>
      <c r="V174" s="50">
        <f t="shared" si="81"/>
        <v>0</v>
      </c>
      <c r="W174" s="50"/>
      <c r="X174" s="50">
        <f t="shared" si="95"/>
        <v>0</v>
      </c>
      <c r="Y174" s="50"/>
      <c r="Z174" s="50">
        <f t="shared" si="96"/>
        <v>0</v>
      </c>
      <c r="AA174" s="50"/>
      <c r="AB174" s="50">
        <f t="shared" si="97"/>
        <v>0</v>
      </c>
      <c r="AC174" s="50"/>
      <c r="AD174" s="50"/>
      <c r="AE174" s="50"/>
      <c r="AF174" s="50">
        <f t="shared" si="98"/>
        <v>0</v>
      </c>
      <c r="AG174" s="50"/>
      <c r="AH174" s="50">
        <f t="shared" si="99"/>
        <v>0</v>
      </c>
      <c r="AI174" s="50"/>
      <c r="AJ174" s="50">
        <f t="shared" si="100"/>
        <v>0</v>
      </c>
      <c r="AK174" s="50"/>
      <c r="AL174" s="50">
        <f t="shared" si="101"/>
        <v>0</v>
      </c>
      <c r="AM174" s="50"/>
      <c r="AN174" s="50">
        <f t="shared" si="102"/>
        <v>0</v>
      </c>
      <c r="AO174" s="50"/>
      <c r="AP174" s="50">
        <f t="shared" si="103"/>
        <v>0</v>
      </c>
      <c r="AQ174" s="50"/>
      <c r="AR174" s="50">
        <f t="shared" si="104"/>
        <v>0</v>
      </c>
      <c r="AS174" s="50"/>
      <c r="AT174" s="50">
        <f t="shared" si="105"/>
        <v>0</v>
      </c>
      <c r="AU174" s="260"/>
      <c r="AV174" s="260">
        <f t="shared" si="106"/>
        <v>0</v>
      </c>
    </row>
    <row r="175" spans="1:48" x14ac:dyDescent="0.2">
      <c r="A175" s="534" t="s">
        <v>336</v>
      </c>
      <c r="B175" s="48" t="s">
        <v>61</v>
      </c>
      <c r="C175" s="49">
        <v>6090</v>
      </c>
      <c r="D175" s="49">
        <f t="shared" si="82"/>
        <v>6090</v>
      </c>
      <c r="E175" s="50"/>
      <c r="F175" s="50">
        <f t="shared" si="74"/>
        <v>0</v>
      </c>
      <c r="G175" s="50"/>
      <c r="H175" s="50">
        <f t="shared" si="75"/>
        <v>0</v>
      </c>
      <c r="I175" s="50"/>
      <c r="J175" s="50">
        <f t="shared" si="76"/>
        <v>0</v>
      </c>
      <c r="K175" s="50"/>
      <c r="L175" s="50">
        <f t="shared" si="77"/>
        <v>0</v>
      </c>
      <c r="M175" s="50"/>
      <c r="N175" s="50">
        <f t="shared" si="78"/>
        <v>0</v>
      </c>
      <c r="O175" s="50"/>
      <c r="P175" s="50"/>
      <c r="Q175" s="50"/>
      <c r="R175" s="50">
        <f t="shared" si="79"/>
        <v>0</v>
      </c>
      <c r="S175" s="50"/>
      <c r="T175" s="50">
        <f t="shared" si="80"/>
        <v>0</v>
      </c>
      <c r="U175" s="50"/>
      <c r="V175" s="50">
        <f t="shared" si="81"/>
        <v>0</v>
      </c>
      <c r="W175" s="50"/>
      <c r="X175" s="50">
        <f t="shared" si="95"/>
        <v>0</v>
      </c>
      <c r="Y175" s="50"/>
      <c r="Z175" s="50">
        <f t="shared" si="96"/>
        <v>0</v>
      </c>
      <c r="AA175" s="50"/>
      <c r="AB175" s="50">
        <f t="shared" si="97"/>
        <v>0</v>
      </c>
      <c r="AC175" s="50"/>
      <c r="AD175" s="50"/>
      <c r="AE175" s="50"/>
      <c r="AF175" s="50">
        <f t="shared" si="98"/>
        <v>0</v>
      </c>
      <c r="AG175" s="50"/>
      <c r="AH175" s="50">
        <f t="shared" si="99"/>
        <v>0</v>
      </c>
      <c r="AI175" s="50"/>
      <c r="AJ175" s="50">
        <f t="shared" si="100"/>
        <v>0</v>
      </c>
      <c r="AK175" s="50"/>
      <c r="AL175" s="50">
        <f t="shared" si="101"/>
        <v>0</v>
      </c>
      <c r="AM175" s="50"/>
      <c r="AN175" s="50">
        <f t="shared" si="102"/>
        <v>0</v>
      </c>
      <c r="AO175" s="50"/>
      <c r="AP175" s="50">
        <f t="shared" si="103"/>
        <v>0</v>
      </c>
      <c r="AQ175" s="50"/>
      <c r="AR175" s="50">
        <f t="shared" si="104"/>
        <v>0</v>
      </c>
      <c r="AS175" s="50"/>
      <c r="AT175" s="50">
        <f t="shared" si="105"/>
        <v>0</v>
      </c>
      <c r="AU175" s="260"/>
      <c r="AV175" s="260">
        <f t="shared" si="106"/>
        <v>0</v>
      </c>
    </row>
    <row r="176" spans="1:48" x14ac:dyDescent="0.2">
      <c r="A176" s="47" t="s">
        <v>337</v>
      </c>
      <c r="B176" s="48" t="s">
        <v>61</v>
      </c>
      <c r="C176" s="149">
        <f>4.557*1000</f>
        <v>4557</v>
      </c>
      <c r="D176" s="49">
        <f t="shared" si="82"/>
        <v>4557</v>
      </c>
      <c r="E176" s="50"/>
      <c r="F176" s="50">
        <f t="shared" si="74"/>
        <v>0</v>
      </c>
      <c r="G176" s="50"/>
      <c r="H176" s="50">
        <f t="shared" si="75"/>
        <v>0</v>
      </c>
      <c r="I176" s="50"/>
      <c r="J176" s="50">
        <f t="shared" si="76"/>
        <v>0</v>
      </c>
      <c r="K176" s="50"/>
      <c r="L176" s="50">
        <f t="shared" si="77"/>
        <v>0</v>
      </c>
      <c r="M176" s="50"/>
      <c r="N176" s="50">
        <f t="shared" si="78"/>
        <v>0</v>
      </c>
      <c r="O176" s="50"/>
      <c r="P176" s="50"/>
      <c r="Q176" s="50"/>
      <c r="R176" s="50">
        <f t="shared" si="79"/>
        <v>0</v>
      </c>
      <c r="S176" s="50"/>
      <c r="T176" s="50">
        <f t="shared" si="80"/>
        <v>0</v>
      </c>
      <c r="U176" s="50"/>
      <c r="V176" s="50">
        <f t="shared" si="81"/>
        <v>0</v>
      </c>
      <c r="W176" s="50"/>
      <c r="X176" s="50">
        <f t="shared" si="95"/>
        <v>0</v>
      </c>
      <c r="Y176" s="50"/>
      <c r="Z176" s="50">
        <f t="shared" si="96"/>
        <v>0</v>
      </c>
      <c r="AA176" s="50"/>
      <c r="AB176" s="50">
        <f t="shared" si="97"/>
        <v>0</v>
      </c>
      <c r="AC176" s="50"/>
      <c r="AD176" s="50"/>
      <c r="AE176" s="50"/>
      <c r="AF176" s="50">
        <f t="shared" si="98"/>
        <v>0</v>
      </c>
      <c r="AG176" s="50"/>
      <c r="AH176" s="50">
        <f t="shared" si="99"/>
        <v>0</v>
      </c>
      <c r="AI176" s="50"/>
      <c r="AJ176" s="50">
        <f t="shared" si="100"/>
        <v>0</v>
      </c>
      <c r="AK176" s="50"/>
      <c r="AL176" s="50">
        <f t="shared" si="101"/>
        <v>0</v>
      </c>
      <c r="AM176" s="50"/>
      <c r="AN176" s="50">
        <f t="shared" si="102"/>
        <v>0</v>
      </c>
      <c r="AO176" s="50"/>
      <c r="AP176" s="50">
        <f t="shared" si="103"/>
        <v>0</v>
      </c>
      <c r="AQ176" s="50"/>
      <c r="AR176" s="50">
        <f t="shared" si="104"/>
        <v>0</v>
      </c>
      <c r="AS176" s="50"/>
      <c r="AT176" s="50">
        <f t="shared" si="105"/>
        <v>0</v>
      </c>
      <c r="AU176" s="260"/>
      <c r="AV176" s="260">
        <f t="shared" si="106"/>
        <v>0</v>
      </c>
    </row>
    <row r="177" spans="1:48" x14ac:dyDescent="0.2">
      <c r="A177" s="534" t="s">
        <v>338</v>
      </c>
      <c r="B177" s="48" t="s">
        <v>61</v>
      </c>
      <c r="C177" s="49">
        <v>10290</v>
      </c>
      <c r="D177" s="49">
        <f t="shared" si="82"/>
        <v>10290</v>
      </c>
      <c r="E177" s="50"/>
      <c r="F177" s="50">
        <f t="shared" si="74"/>
        <v>0</v>
      </c>
      <c r="G177" s="50"/>
      <c r="H177" s="50">
        <f t="shared" si="75"/>
        <v>0</v>
      </c>
      <c r="I177" s="50"/>
      <c r="J177" s="50">
        <f t="shared" si="76"/>
        <v>0</v>
      </c>
      <c r="K177" s="50"/>
      <c r="L177" s="50">
        <f t="shared" si="77"/>
        <v>0</v>
      </c>
      <c r="M177" s="50"/>
      <c r="N177" s="50">
        <f t="shared" si="78"/>
        <v>0</v>
      </c>
      <c r="O177" s="50"/>
      <c r="P177" s="50"/>
      <c r="Q177" s="50"/>
      <c r="R177" s="50">
        <f t="shared" si="79"/>
        <v>0</v>
      </c>
      <c r="S177" s="50"/>
      <c r="T177" s="50">
        <f t="shared" si="80"/>
        <v>0</v>
      </c>
      <c r="U177" s="50"/>
      <c r="V177" s="50">
        <f t="shared" si="81"/>
        <v>0</v>
      </c>
      <c r="W177" s="50"/>
      <c r="X177" s="50">
        <f t="shared" si="95"/>
        <v>0</v>
      </c>
      <c r="Y177" s="50"/>
      <c r="Z177" s="50">
        <f t="shared" si="96"/>
        <v>0</v>
      </c>
      <c r="AA177" s="50"/>
      <c r="AB177" s="50">
        <f t="shared" si="97"/>
        <v>0</v>
      </c>
      <c r="AC177" s="50"/>
      <c r="AD177" s="50"/>
      <c r="AE177" s="50"/>
      <c r="AF177" s="50">
        <f t="shared" si="98"/>
        <v>0</v>
      </c>
      <c r="AG177" s="50"/>
      <c r="AH177" s="50">
        <f t="shared" si="99"/>
        <v>0</v>
      </c>
      <c r="AI177" s="50"/>
      <c r="AJ177" s="50">
        <f t="shared" si="100"/>
        <v>0</v>
      </c>
      <c r="AK177" s="50"/>
      <c r="AL177" s="50">
        <f t="shared" si="101"/>
        <v>0</v>
      </c>
      <c r="AM177" s="50"/>
      <c r="AN177" s="50">
        <f t="shared" si="102"/>
        <v>0</v>
      </c>
      <c r="AO177" s="50"/>
      <c r="AP177" s="50">
        <f t="shared" si="103"/>
        <v>0</v>
      </c>
      <c r="AQ177" s="50"/>
      <c r="AR177" s="50">
        <f t="shared" si="104"/>
        <v>0</v>
      </c>
      <c r="AS177" s="50"/>
      <c r="AT177" s="50">
        <f t="shared" si="105"/>
        <v>0</v>
      </c>
      <c r="AU177" s="260"/>
      <c r="AV177" s="260">
        <f t="shared" si="106"/>
        <v>0</v>
      </c>
    </row>
    <row r="178" spans="1:48" x14ac:dyDescent="0.2">
      <c r="A178" s="47" t="s">
        <v>339</v>
      </c>
      <c r="B178" s="48" t="s">
        <v>61</v>
      </c>
      <c r="C178" s="149">
        <f>5.306*1000</f>
        <v>5306</v>
      </c>
      <c r="D178" s="49">
        <f t="shared" si="82"/>
        <v>5306</v>
      </c>
      <c r="E178" s="50"/>
      <c r="F178" s="50">
        <f t="shared" si="74"/>
        <v>0</v>
      </c>
      <c r="G178" s="50"/>
      <c r="H178" s="50">
        <f t="shared" si="75"/>
        <v>0</v>
      </c>
      <c r="I178" s="50"/>
      <c r="J178" s="50">
        <f t="shared" si="76"/>
        <v>0</v>
      </c>
      <c r="K178" s="50"/>
      <c r="L178" s="50">
        <f t="shared" si="77"/>
        <v>0</v>
      </c>
      <c r="M178" s="50"/>
      <c r="N178" s="50">
        <f t="shared" si="78"/>
        <v>0</v>
      </c>
      <c r="O178" s="50"/>
      <c r="P178" s="50"/>
      <c r="Q178" s="50"/>
      <c r="R178" s="50">
        <f t="shared" si="79"/>
        <v>0</v>
      </c>
      <c r="S178" s="50"/>
      <c r="T178" s="50">
        <f t="shared" si="80"/>
        <v>0</v>
      </c>
      <c r="U178" s="50"/>
      <c r="V178" s="50">
        <f t="shared" si="81"/>
        <v>0</v>
      </c>
      <c r="W178" s="50"/>
      <c r="X178" s="50">
        <f t="shared" si="95"/>
        <v>0</v>
      </c>
      <c r="Y178" s="50"/>
      <c r="Z178" s="50">
        <f t="shared" si="96"/>
        <v>0</v>
      </c>
      <c r="AA178" s="50"/>
      <c r="AB178" s="50">
        <f t="shared" si="97"/>
        <v>0</v>
      </c>
      <c r="AC178" s="50"/>
      <c r="AD178" s="50"/>
      <c r="AE178" s="50"/>
      <c r="AF178" s="50">
        <f t="shared" si="98"/>
        <v>0</v>
      </c>
      <c r="AG178" s="50"/>
      <c r="AH178" s="50">
        <f t="shared" si="99"/>
        <v>0</v>
      </c>
      <c r="AI178" s="50"/>
      <c r="AJ178" s="50">
        <f t="shared" si="100"/>
        <v>0</v>
      </c>
      <c r="AK178" s="50"/>
      <c r="AL178" s="50">
        <f t="shared" si="101"/>
        <v>0</v>
      </c>
      <c r="AM178" s="50"/>
      <c r="AN178" s="50">
        <f t="shared" si="102"/>
        <v>0</v>
      </c>
      <c r="AO178" s="50"/>
      <c r="AP178" s="50">
        <f t="shared" si="103"/>
        <v>0</v>
      </c>
      <c r="AQ178" s="50"/>
      <c r="AR178" s="50">
        <f t="shared" si="104"/>
        <v>0</v>
      </c>
      <c r="AS178" s="50"/>
      <c r="AT178" s="50">
        <f t="shared" si="105"/>
        <v>0</v>
      </c>
      <c r="AU178" s="260"/>
      <c r="AV178" s="260">
        <f t="shared" si="106"/>
        <v>0</v>
      </c>
    </row>
    <row r="179" spans="1:48" x14ac:dyDescent="0.2">
      <c r="A179" s="534" t="s">
        <v>340</v>
      </c>
      <c r="B179" s="48" t="s">
        <v>61</v>
      </c>
      <c r="C179" s="49">
        <v>2820</v>
      </c>
      <c r="D179" s="49">
        <f t="shared" si="82"/>
        <v>2820</v>
      </c>
      <c r="E179" s="50"/>
      <c r="F179" s="50">
        <f t="shared" si="74"/>
        <v>0</v>
      </c>
      <c r="G179" s="50"/>
      <c r="H179" s="50">
        <f t="shared" si="75"/>
        <v>0</v>
      </c>
      <c r="I179" s="50"/>
      <c r="J179" s="50">
        <f t="shared" si="76"/>
        <v>0</v>
      </c>
      <c r="K179" s="50"/>
      <c r="L179" s="50">
        <f t="shared" si="77"/>
        <v>0</v>
      </c>
      <c r="M179" s="50"/>
      <c r="N179" s="50">
        <f t="shared" si="78"/>
        <v>0</v>
      </c>
      <c r="O179" s="50"/>
      <c r="P179" s="50"/>
      <c r="Q179" s="50"/>
      <c r="R179" s="50">
        <f t="shared" si="79"/>
        <v>0</v>
      </c>
      <c r="S179" s="50"/>
      <c r="T179" s="50">
        <f t="shared" si="80"/>
        <v>0</v>
      </c>
      <c r="U179" s="50"/>
      <c r="V179" s="50">
        <f t="shared" si="81"/>
        <v>0</v>
      </c>
      <c r="W179" s="50"/>
      <c r="X179" s="50">
        <f t="shared" si="95"/>
        <v>0</v>
      </c>
      <c r="Y179" s="50"/>
      <c r="Z179" s="50">
        <f t="shared" si="96"/>
        <v>0</v>
      </c>
      <c r="AA179" s="50"/>
      <c r="AB179" s="50">
        <f t="shared" si="97"/>
        <v>0</v>
      </c>
      <c r="AC179" s="50"/>
      <c r="AD179" s="50"/>
      <c r="AE179" s="50"/>
      <c r="AF179" s="50">
        <f t="shared" si="98"/>
        <v>0</v>
      </c>
      <c r="AG179" s="50"/>
      <c r="AH179" s="50">
        <f t="shared" si="99"/>
        <v>0</v>
      </c>
      <c r="AI179" s="50"/>
      <c r="AJ179" s="50">
        <f t="shared" si="100"/>
        <v>0</v>
      </c>
      <c r="AK179" s="50"/>
      <c r="AL179" s="50">
        <f t="shared" si="101"/>
        <v>0</v>
      </c>
      <c r="AM179" s="50"/>
      <c r="AN179" s="50">
        <f t="shared" si="102"/>
        <v>0</v>
      </c>
      <c r="AO179" s="50"/>
      <c r="AP179" s="50">
        <f t="shared" si="103"/>
        <v>0</v>
      </c>
      <c r="AQ179" s="50"/>
      <c r="AR179" s="50">
        <f t="shared" si="104"/>
        <v>0</v>
      </c>
      <c r="AS179" s="50"/>
      <c r="AT179" s="50">
        <f t="shared" si="105"/>
        <v>0</v>
      </c>
      <c r="AU179" s="260"/>
      <c r="AV179" s="260">
        <f t="shared" si="106"/>
        <v>0</v>
      </c>
    </row>
    <row r="180" spans="1:48" x14ac:dyDescent="0.2">
      <c r="A180" s="534" t="s">
        <v>71</v>
      </c>
      <c r="B180" s="48" t="s">
        <v>61</v>
      </c>
      <c r="C180" s="49">
        <v>3730</v>
      </c>
      <c r="D180" s="49">
        <f t="shared" ref="D180:D218" si="107">ROUND((C180*(1+D$4)),2)</f>
        <v>3730</v>
      </c>
      <c r="E180" s="50"/>
      <c r="F180" s="50">
        <f t="shared" ref="F180:F218" si="108">+D180*E180</f>
        <v>0</v>
      </c>
      <c r="G180" s="50"/>
      <c r="H180" s="50">
        <f t="shared" ref="H180:H218" si="109">+D180*G180</f>
        <v>0</v>
      </c>
      <c r="I180" s="50"/>
      <c r="J180" s="50">
        <f t="shared" ref="J180:J218" si="110">+D180*I180</f>
        <v>0</v>
      </c>
      <c r="K180" s="50"/>
      <c r="L180" s="50">
        <f t="shared" ref="L180:L218" si="111">+D180*K180</f>
        <v>0</v>
      </c>
      <c r="M180" s="50"/>
      <c r="N180" s="50">
        <f t="shared" ref="N180:N218" si="112">+D180*M180</f>
        <v>0</v>
      </c>
      <c r="O180" s="50"/>
      <c r="P180" s="50"/>
      <c r="Q180" s="50"/>
      <c r="R180" s="50">
        <f t="shared" ref="R180:R219" si="113">+D180*Q180</f>
        <v>0</v>
      </c>
      <c r="S180" s="50"/>
      <c r="T180" s="50">
        <f t="shared" ref="T180:T218" si="114">+D180*S180</f>
        <v>0</v>
      </c>
      <c r="U180" s="50"/>
      <c r="V180" s="50">
        <f t="shared" ref="V180:V218" si="115">+D180*U180</f>
        <v>0</v>
      </c>
      <c r="W180" s="50"/>
      <c r="X180" s="50">
        <f t="shared" si="95"/>
        <v>0</v>
      </c>
      <c r="Y180" s="50"/>
      <c r="Z180" s="50">
        <f t="shared" si="96"/>
        <v>0</v>
      </c>
      <c r="AA180" s="50"/>
      <c r="AB180" s="50">
        <f t="shared" si="97"/>
        <v>0</v>
      </c>
      <c r="AC180" s="50"/>
      <c r="AD180" s="50"/>
      <c r="AE180" s="50"/>
      <c r="AF180" s="50">
        <f t="shared" si="98"/>
        <v>0</v>
      </c>
      <c r="AG180" s="50"/>
      <c r="AH180" s="50">
        <f t="shared" si="99"/>
        <v>0</v>
      </c>
      <c r="AI180" s="50"/>
      <c r="AJ180" s="50">
        <f t="shared" si="100"/>
        <v>0</v>
      </c>
      <c r="AK180" s="50"/>
      <c r="AL180" s="50">
        <f t="shared" si="101"/>
        <v>0</v>
      </c>
      <c r="AM180" s="50"/>
      <c r="AN180" s="50">
        <f t="shared" si="102"/>
        <v>0</v>
      </c>
      <c r="AO180" s="50"/>
      <c r="AP180" s="50">
        <f t="shared" si="103"/>
        <v>0</v>
      </c>
      <c r="AQ180" s="50"/>
      <c r="AR180" s="50">
        <f t="shared" si="104"/>
        <v>0</v>
      </c>
      <c r="AS180" s="50"/>
      <c r="AT180" s="50">
        <f t="shared" si="105"/>
        <v>0</v>
      </c>
      <c r="AU180" s="260"/>
      <c r="AV180" s="260">
        <f t="shared" si="106"/>
        <v>0</v>
      </c>
    </row>
    <row r="181" spans="1:48" x14ac:dyDescent="0.2">
      <c r="A181" s="534" t="s">
        <v>72</v>
      </c>
      <c r="B181" s="48" t="s">
        <v>61</v>
      </c>
      <c r="C181" s="49">
        <v>3410</v>
      </c>
      <c r="D181" s="49">
        <f t="shared" si="107"/>
        <v>3410</v>
      </c>
      <c r="E181" s="50"/>
      <c r="F181" s="50">
        <f t="shared" si="108"/>
        <v>0</v>
      </c>
      <c r="G181" s="50"/>
      <c r="H181" s="50">
        <f t="shared" si="109"/>
        <v>0</v>
      </c>
      <c r="I181" s="50"/>
      <c r="J181" s="50">
        <f t="shared" si="110"/>
        <v>0</v>
      </c>
      <c r="K181" s="50"/>
      <c r="L181" s="50">
        <f t="shared" si="111"/>
        <v>0</v>
      </c>
      <c r="M181" s="50"/>
      <c r="N181" s="50">
        <f t="shared" si="112"/>
        <v>0</v>
      </c>
      <c r="O181" s="50"/>
      <c r="P181" s="50"/>
      <c r="Q181" s="50"/>
      <c r="R181" s="50">
        <f t="shared" si="113"/>
        <v>0</v>
      </c>
      <c r="S181" s="50"/>
      <c r="T181" s="50">
        <f t="shared" si="114"/>
        <v>0</v>
      </c>
      <c r="U181" s="50"/>
      <c r="V181" s="50">
        <f t="shared" si="115"/>
        <v>0</v>
      </c>
      <c r="W181" s="50"/>
      <c r="X181" s="50">
        <f t="shared" si="95"/>
        <v>0</v>
      </c>
      <c r="Y181" s="50"/>
      <c r="Z181" s="50">
        <f t="shared" si="96"/>
        <v>0</v>
      </c>
      <c r="AA181" s="50"/>
      <c r="AB181" s="50">
        <f t="shared" si="97"/>
        <v>0</v>
      </c>
      <c r="AC181" s="50"/>
      <c r="AD181" s="50"/>
      <c r="AE181" s="50"/>
      <c r="AF181" s="50">
        <f t="shared" si="98"/>
        <v>0</v>
      </c>
      <c r="AG181" s="50"/>
      <c r="AH181" s="50">
        <f t="shared" si="99"/>
        <v>0</v>
      </c>
      <c r="AI181" s="50"/>
      <c r="AJ181" s="50">
        <f t="shared" si="100"/>
        <v>0</v>
      </c>
      <c r="AK181" s="50"/>
      <c r="AL181" s="50">
        <f t="shared" si="101"/>
        <v>0</v>
      </c>
      <c r="AM181" s="50"/>
      <c r="AN181" s="50">
        <f t="shared" si="102"/>
        <v>0</v>
      </c>
      <c r="AO181" s="50"/>
      <c r="AP181" s="50">
        <f t="shared" si="103"/>
        <v>0</v>
      </c>
      <c r="AQ181" s="50"/>
      <c r="AR181" s="50">
        <f t="shared" si="104"/>
        <v>0</v>
      </c>
      <c r="AS181" s="50"/>
      <c r="AT181" s="50">
        <f t="shared" si="105"/>
        <v>0</v>
      </c>
      <c r="AU181" s="260"/>
      <c r="AV181" s="260">
        <f t="shared" si="106"/>
        <v>0</v>
      </c>
    </row>
    <row r="182" spans="1:48" x14ac:dyDescent="0.2">
      <c r="A182" s="534" t="s">
        <v>922</v>
      </c>
      <c r="B182" s="48" t="s">
        <v>61</v>
      </c>
      <c r="C182" s="49">
        <v>3840</v>
      </c>
      <c r="D182" s="49">
        <f t="shared" si="107"/>
        <v>3840</v>
      </c>
      <c r="E182" s="50"/>
      <c r="F182" s="50">
        <f t="shared" si="108"/>
        <v>0</v>
      </c>
      <c r="G182" s="50"/>
      <c r="H182" s="50">
        <f t="shared" si="109"/>
        <v>0</v>
      </c>
      <c r="I182" s="50"/>
      <c r="J182" s="50">
        <f t="shared" si="110"/>
        <v>0</v>
      </c>
      <c r="K182" s="50"/>
      <c r="L182" s="50">
        <f t="shared" si="111"/>
        <v>0</v>
      </c>
      <c r="M182" s="50"/>
      <c r="N182" s="50">
        <f t="shared" si="112"/>
        <v>0</v>
      </c>
      <c r="O182" s="50"/>
      <c r="P182" s="50"/>
      <c r="Q182" s="50"/>
      <c r="R182" s="50">
        <f t="shared" si="113"/>
        <v>0</v>
      </c>
      <c r="S182" s="50"/>
      <c r="T182" s="50">
        <f t="shared" si="114"/>
        <v>0</v>
      </c>
      <c r="U182" s="50"/>
      <c r="V182" s="50">
        <f t="shared" si="115"/>
        <v>0</v>
      </c>
      <c r="W182" s="50"/>
      <c r="X182" s="50">
        <f t="shared" si="95"/>
        <v>0</v>
      </c>
      <c r="Y182" s="50"/>
      <c r="Z182" s="50">
        <f t="shared" si="96"/>
        <v>0</v>
      </c>
      <c r="AA182" s="50"/>
      <c r="AB182" s="50">
        <f t="shared" si="97"/>
        <v>0</v>
      </c>
      <c r="AC182" s="50"/>
      <c r="AD182" s="50"/>
      <c r="AE182" s="50"/>
      <c r="AF182" s="50">
        <f t="shared" si="98"/>
        <v>0</v>
      </c>
      <c r="AG182" s="50"/>
      <c r="AH182" s="50">
        <f t="shared" si="99"/>
        <v>0</v>
      </c>
      <c r="AI182" s="50"/>
      <c r="AJ182" s="50">
        <f t="shared" si="100"/>
        <v>0</v>
      </c>
      <c r="AK182" s="50"/>
      <c r="AL182" s="50">
        <f t="shared" si="101"/>
        <v>0</v>
      </c>
      <c r="AM182" s="50"/>
      <c r="AN182" s="50">
        <f t="shared" si="102"/>
        <v>0</v>
      </c>
      <c r="AO182" s="50"/>
      <c r="AP182" s="50">
        <f t="shared" si="103"/>
        <v>0</v>
      </c>
      <c r="AQ182" s="50"/>
      <c r="AR182" s="50">
        <f t="shared" si="104"/>
        <v>0</v>
      </c>
      <c r="AS182" s="50"/>
      <c r="AT182" s="50">
        <f t="shared" si="105"/>
        <v>0</v>
      </c>
      <c r="AU182" s="260"/>
      <c r="AV182" s="260">
        <f t="shared" si="106"/>
        <v>0</v>
      </c>
    </row>
    <row r="183" spans="1:48" x14ac:dyDescent="0.2">
      <c r="A183" s="466" t="s">
        <v>341</v>
      </c>
      <c r="B183" s="48"/>
      <c r="C183" s="49"/>
      <c r="D183" s="49">
        <f t="shared" si="107"/>
        <v>0</v>
      </c>
      <c r="E183" s="50"/>
      <c r="F183" s="50">
        <f t="shared" si="108"/>
        <v>0</v>
      </c>
      <c r="G183" s="50"/>
      <c r="H183" s="50">
        <f t="shared" si="109"/>
        <v>0</v>
      </c>
      <c r="I183" s="50"/>
      <c r="J183" s="50">
        <f t="shared" si="110"/>
        <v>0</v>
      </c>
      <c r="K183" s="50"/>
      <c r="L183" s="50">
        <f t="shared" si="111"/>
        <v>0</v>
      </c>
      <c r="M183" s="50"/>
      <c r="N183" s="50">
        <f t="shared" si="112"/>
        <v>0</v>
      </c>
      <c r="O183" s="50"/>
      <c r="P183" s="50"/>
      <c r="Q183" s="50"/>
      <c r="R183" s="50">
        <f t="shared" si="113"/>
        <v>0</v>
      </c>
      <c r="S183" s="50"/>
      <c r="T183" s="50">
        <f t="shared" si="114"/>
        <v>0</v>
      </c>
      <c r="U183" s="50"/>
      <c r="V183" s="50">
        <f t="shared" si="115"/>
        <v>0</v>
      </c>
      <c r="W183" s="50"/>
      <c r="X183" s="50">
        <f t="shared" si="95"/>
        <v>0</v>
      </c>
      <c r="Y183" s="50"/>
      <c r="Z183" s="50">
        <f t="shared" si="96"/>
        <v>0</v>
      </c>
      <c r="AA183" s="50"/>
      <c r="AB183" s="50">
        <f t="shared" si="97"/>
        <v>0</v>
      </c>
      <c r="AC183" s="50"/>
      <c r="AD183" s="50"/>
      <c r="AE183" s="50"/>
      <c r="AF183" s="50">
        <f t="shared" si="98"/>
        <v>0</v>
      </c>
      <c r="AG183" s="50"/>
      <c r="AH183" s="50">
        <f t="shared" si="99"/>
        <v>0</v>
      </c>
      <c r="AI183" s="50"/>
      <c r="AJ183" s="50">
        <f t="shared" si="100"/>
        <v>0</v>
      </c>
      <c r="AK183" s="50"/>
      <c r="AL183" s="50">
        <f t="shared" si="101"/>
        <v>0</v>
      </c>
      <c r="AM183" s="50"/>
      <c r="AN183" s="50">
        <f t="shared" si="102"/>
        <v>0</v>
      </c>
      <c r="AO183" s="50"/>
      <c r="AP183" s="50">
        <f t="shared" si="103"/>
        <v>0</v>
      </c>
      <c r="AQ183" s="50"/>
      <c r="AR183" s="50">
        <f t="shared" si="104"/>
        <v>0</v>
      </c>
      <c r="AS183" s="50"/>
      <c r="AT183" s="50">
        <f t="shared" si="105"/>
        <v>0</v>
      </c>
      <c r="AU183" s="260"/>
      <c r="AV183" s="27">
        <f t="shared" si="106"/>
        <v>0</v>
      </c>
    </row>
    <row r="184" spans="1:48" x14ac:dyDescent="0.2">
      <c r="A184" s="47" t="s">
        <v>1079</v>
      </c>
      <c r="B184" s="48" t="s">
        <v>227</v>
      </c>
      <c r="C184" s="149">
        <v>2.3117202552844729</v>
      </c>
      <c r="D184" s="49">
        <f t="shared" si="107"/>
        <v>2.31</v>
      </c>
      <c r="E184" s="50">
        <v>1</v>
      </c>
      <c r="F184" s="50">
        <f t="shared" si="108"/>
        <v>2.31</v>
      </c>
      <c r="G184" s="50">
        <v>2</v>
      </c>
      <c r="H184" s="479">
        <f t="shared" si="109"/>
        <v>4.62</v>
      </c>
      <c r="I184" s="50"/>
      <c r="J184" s="50">
        <f t="shared" si="110"/>
        <v>0</v>
      </c>
      <c r="K184" s="50"/>
      <c r="L184" s="50">
        <f t="shared" si="111"/>
        <v>0</v>
      </c>
      <c r="M184" s="50">
        <v>1</v>
      </c>
      <c r="N184" s="50">
        <f t="shared" si="112"/>
        <v>2.31</v>
      </c>
      <c r="O184" s="50">
        <v>2</v>
      </c>
      <c r="P184" s="479">
        <f>D184*O184</f>
        <v>4.62</v>
      </c>
      <c r="Q184" s="50"/>
      <c r="R184" s="50">
        <f t="shared" si="113"/>
        <v>0</v>
      </c>
      <c r="S184" s="50"/>
      <c r="T184" s="50">
        <f t="shared" si="114"/>
        <v>0</v>
      </c>
      <c r="U184" s="50"/>
      <c r="V184" s="50">
        <f t="shared" si="115"/>
        <v>0</v>
      </c>
      <c r="W184" s="50"/>
      <c r="X184" s="50">
        <f t="shared" si="95"/>
        <v>0</v>
      </c>
      <c r="Y184" s="50"/>
      <c r="Z184" s="50">
        <f t="shared" si="96"/>
        <v>0</v>
      </c>
      <c r="AA184" s="50"/>
      <c r="AB184" s="50">
        <f t="shared" si="97"/>
        <v>0</v>
      </c>
      <c r="AC184" s="50"/>
      <c r="AD184" s="50"/>
      <c r="AE184" s="50"/>
      <c r="AF184" s="50">
        <f t="shared" si="98"/>
        <v>0</v>
      </c>
      <c r="AG184" s="50"/>
      <c r="AH184" s="50">
        <f t="shared" si="99"/>
        <v>0</v>
      </c>
      <c r="AI184" s="50">
        <v>1</v>
      </c>
      <c r="AJ184" s="50">
        <f t="shared" si="100"/>
        <v>2.31</v>
      </c>
      <c r="AK184" s="50"/>
      <c r="AL184" s="50">
        <f t="shared" si="101"/>
        <v>0</v>
      </c>
      <c r="AM184" s="50">
        <v>2</v>
      </c>
      <c r="AN184" s="50">
        <f t="shared" si="102"/>
        <v>4.62</v>
      </c>
      <c r="AO184" s="50"/>
      <c r="AP184" s="50">
        <f t="shared" si="103"/>
        <v>0</v>
      </c>
      <c r="AQ184" s="50"/>
      <c r="AR184" s="50">
        <f t="shared" si="104"/>
        <v>0</v>
      </c>
      <c r="AS184" s="50"/>
      <c r="AT184" s="50">
        <f t="shared" si="105"/>
        <v>0</v>
      </c>
      <c r="AU184" s="260"/>
      <c r="AV184" s="27">
        <f t="shared" si="106"/>
        <v>0</v>
      </c>
    </row>
    <row r="185" spans="1:48" x14ac:dyDescent="0.2">
      <c r="A185" s="534" t="s">
        <v>342</v>
      </c>
      <c r="B185" s="48" t="s">
        <v>227</v>
      </c>
      <c r="C185" s="49">
        <v>1.2412000000000001</v>
      </c>
      <c r="D185" s="49">
        <f t="shared" si="107"/>
        <v>1.24</v>
      </c>
      <c r="E185" s="50"/>
      <c r="F185" s="50">
        <f t="shared" si="108"/>
        <v>0</v>
      </c>
      <c r="G185" s="50"/>
      <c r="H185" s="50">
        <f t="shared" si="109"/>
        <v>0</v>
      </c>
      <c r="I185" s="50"/>
      <c r="J185" s="50">
        <f t="shared" si="110"/>
        <v>0</v>
      </c>
      <c r="K185" s="50"/>
      <c r="L185" s="50">
        <f t="shared" si="111"/>
        <v>0</v>
      </c>
      <c r="M185" s="50"/>
      <c r="N185" s="50">
        <f t="shared" si="112"/>
        <v>0</v>
      </c>
      <c r="O185" s="50"/>
      <c r="P185" s="50"/>
      <c r="Q185" s="50"/>
      <c r="R185" s="50">
        <f t="shared" si="113"/>
        <v>0</v>
      </c>
      <c r="S185" s="50"/>
      <c r="T185" s="50">
        <f t="shared" si="114"/>
        <v>0</v>
      </c>
      <c r="U185" s="50"/>
      <c r="V185" s="50">
        <f t="shared" si="115"/>
        <v>0</v>
      </c>
      <c r="W185" s="50"/>
      <c r="X185" s="50">
        <f t="shared" si="95"/>
        <v>0</v>
      </c>
      <c r="Y185" s="50"/>
      <c r="Z185" s="50">
        <f t="shared" si="96"/>
        <v>0</v>
      </c>
      <c r="AA185" s="50"/>
      <c r="AB185" s="50">
        <f t="shared" si="97"/>
        <v>0</v>
      </c>
      <c r="AC185" s="50"/>
      <c r="AD185" s="50"/>
      <c r="AE185" s="50"/>
      <c r="AF185" s="50">
        <f t="shared" si="98"/>
        <v>0</v>
      </c>
      <c r="AG185" s="50"/>
      <c r="AH185" s="50">
        <f t="shared" si="99"/>
        <v>0</v>
      </c>
      <c r="AI185" s="50"/>
      <c r="AJ185" s="50">
        <f t="shared" si="100"/>
        <v>0</v>
      </c>
      <c r="AK185" s="50"/>
      <c r="AL185" s="50">
        <f t="shared" si="101"/>
        <v>0</v>
      </c>
      <c r="AM185" s="50"/>
      <c r="AN185" s="50">
        <f t="shared" si="102"/>
        <v>0</v>
      </c>
      <c r="AO185" s="50"/>
      <c r="AP185" s="50">
        <f t="shared" si="103"/>
        <v>0</v>
      </c>
      <c r="AQ185" s="50"/>
      <c r="AR185" s="50">
        <f t="shared" si="104"/>
        <v>0</v>
      </c>
      <c r="AS185" s="50"/>
      <c r="AT185" s="50">
        <f t="shared" si="105"/>
        <v>0</v>
      </c>
      <c r="AU185" s="260"/>
      <c r="AV185" s="260">
        <f t="shared" si="106"/>
        <v>0</v>
      </c>
    </row>
    <row r="186" spans="1:48" x14ac:dyDescent="0.2">
      <c r="A186" s="534" t="s">
        <v>343</v>
      </c>
      <c r="B186" s="48" t="s">
        <v>227</v>
      </c>
      <c r="C186" s="49">
        <v>2</v>
      </c>
      <c r="D186" s="49">
        <f t="shared" si="107"/>
        <v>2</v>
      </c>
      <c r="E186" s="50"/>
      <c r="F186" s="50">
        <f t="shared" si="108"/>
        <v>0</v>
      </c>
      <c r="G186" s="50"/>
      <c r="H186" s="50">
        <f t="shared" si="109"/>
        <v>0</v>
      </c>
      <c r="I186" s="50"/>
      <c r="J186" s="50">
        <f t="shared" si="110"/>
        <v>0</v>
      </c>
      <c r="K186" s="50"/>
      <c r="L186" s="50">
        <f t="shared" si="111"/>
        <v>0</v>
      </c>
      <c r="M186" s="50"/>
      <c r="N186" s="50">
        <f t="shared" si="112"/>
        <v>0</v>
      </c>
      <c r="O186" s="50"/>
      <c r="P186" s="50"/>
      <c r="Q186" s="50"/>
      <c r="R186" s="50">
        <f t="shared" si="113"/>
        <v>0</v>
      </c>
      <c r="S186" s="50"/>
      <c r="T186" s="50">
        <f t="shared" si="114"/>
        <v>0</v>
      </c>
      <c r="U186" s="50"/>
      <c r="V186" s="50">
        <f t="shared" si="115"/>
        <v>0</v>
      </c>
      <c r="W186" s="50"/>
      <c r="X186" s="50">
        <f t="shared" si="95"/>
        <v>0</v>
      </c>
      <c r="Y186" s="50"/>
      <c r="Z186" s="50">
        <f t="shared" si="96"/>
        <v>0</v>
      </c>
      <c r="AA186" s="50"/>
      <c r="AB186" s="50">
        <f t="shared" si="97"/>
        <v>0</v>
      </c>
      <c r="AC186" s="50"/>
      <c r="AD186" s="50"/>
      <c r="AE186" s="50"/>
      <c r="AF186" s="50">
        <f t="shared" si="98"/>
        <v>0</v>
      </c>
      <c r="AG186" s="50"/>
      <c r="AH186" s="50">
        <f t="shared" si="99"/>
        <v>0</v>
      </c>
      <c r="AI186" s="50"/>
      <c r="AJ186" s="50">
        <f t="shared" si="100"/>
        <v>0</v>
      </c>
      <c r="AK186" s="50"/>
      <c r="AL186" s="50">
        <f t="shared" si="101"/>
        <v>0</v>
      </c>
      <c r="AM186" s="50"/>
      <c r="AN186" s="50">
        <f t="shared" si="102"/>
        <v>0</v>
      </c>
      <c r="AO186" s="50"/>
      <c r="AP186" s="50">
        <f t="shared" si="103"/>
        <v>0</v>
      </c>
      <c r="AQ186" s="50"/>
      <c r="AR186" s="50">
        <f t="shared" si="104"/>
        <v>0</v>
      </c>
      <c r="AS186" s="50"/>
      <c r="AT186" s="50">
        <f t="shared" si="105"/>
        <v>0</v>
      </c>
      <c r="AU186" s="260"/>
      <c r="AV186" s="27">
        <f t="shared" si="106"/>
        <v>0</v>
      </c>
    </row>
    <row r="187" spans="1:48" x14ac:dyDescent="0.2">
      <c r="A187" s="47" t="s">
        <v>1001</v>
      </c>
      <c r="B187" s="48" t="s">
        <v>227</v>
      </c>
      <c r="C187" s="149">
        <v>72.881437609855084</v>
      </c>
      <c r="D187" s="49">
        <f t="shared" si="107"/>
        <v>72.88</v>
      </c>
      <c r="E187" s="50"/>
      <c r="F187" s="50">
        <f t="shared" si="108"/>
        <v>0</v>
      </c>
      <c r="G187" s="50"/>
      <c r="H187" s="50">
        <f t="shared" si="109"/>
        <v>0</v>
      </c>
      <c r="I187" s="50"/>
      <c r="J187" s="50">
        <f t="shared" si="110"/>
        <v>0</v>
      </c>
      <c r="K187" s="50"/>
      <c r="L187" s="50">
        <f t="shared" si="111"/>
        <v>0</v>
      </c>
      <c r="M187" s="50"/>
      <c r="N187" s="50">
        <f t="shared" si="112"/>
        <v>0</v>
      </c>
      <c r="O187" s="50"/>
      <c r="P187" s="50"/>
      <c r="Q187" s="50"/>
      <c r="R187" s="50">
        <f t="shared" si="113"/>
        <v>0</v>
      </c>
      <c r="S187" s="50"/>
      <c r="T187" s="50">
        <f t="shared" si="114"/>
        <v>0</v>
      </c>
      <c r="U187" s="50"/>
      <c r="V187" s="50">
        <f t="shared" si="115"/>
        <v>0</v>
      </c>
      <c r="W187" s="50"/>
      <c r="X187" s="50">
        <f t="shared" si="95"/>
        <v>0</v>
      </c>
      <c r="Y187" s="50"/>
      <c r="Z187" s="50">
        <f t="shared" si="96"/>
        <v>0</v>
      </c>
      <c r="AA187" s="50"/>
      <c r="AB187" s="50">
        <f t="shared" si="97"/>
        <v>0</v>
      </c>
      <c r="AC187" s="50"/>
      <c r="AD187" s="50"/>
      <c r="AE187" s="50"/>
      <c r="AF187" s="50">
        <f t="shared" si="98"/>
        <v>0</v>
      </c>
      <c r="AG187" s="50"/>
      <c r="AH187" s="50">
        <f t="shared" si="99"/>
        <v>0</v>
      </c>
      <c r="AI187" s="50"/>
      <c r="AJ187" s="50">
        <f t="shared" si="100"/>
        <v>0</v>
      </c>
      <c r="AK187" s="50"/>
      <c r="AL187" s="50">
        <f t="shared" si="101"/>
        <v>0</v>
      </c>
      <c r="AM187" s="50"/>
      <c r="AN187" s="50">
        <f t="shared" si="102"/>
        <v>0</v>
      </c>
      <c r="AO187" s="50"/>
      <c r="AP187" s="50">
        <f t="shared" si="103"/>
        <v>0</v>
      </c>
      <c r="AQ187" s="50"/>
      <c r="AR187" s="50">
        <f t="shared" si="104"/>
        <v>0</v>
      </c>
      <c r="AS187" s="50"/>
      <c r="AT187" s="50">
        <f t="shared" si="105"/>
        <v>0</v>
      </c>
      <c r="AU187" s="260"/>
      <c r="AV187" s="27">
        <f t="shared" si="106"/>
        <v>0</v>
      </c>
    </row>
    <row r="188" spans="1:48" x14ac:dyDescent="0.2">
      <c r="A188" s="47" t="s">
        <v>1009</v>
      </c>
      <c r="B188" s="48" t="s">
        <v>227</v>
      </c>
      <c r="C188" s="149">
        <v>79.695310683144726</v>
      </c>
      <c r="D188" s="49">
        <f t="shared" si="107"/>
        <v>79.7</v>
      </c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/>
      <c r="AL188" s="50"/>
      <c r="AM188" s="50"/>
      <c r="AN188" s="50"/>
      <c r="AO188" s="50"/>
      <c r="AP188" s="50"/>
      <c r="AQ188" s="50"/>
      <c r="AR188" s="50"/>
      <c r="AS188" s="50"/>
      <c r="AT188" s="50"/>
      <c r="AU188" s="260"/>
    </row>
    <row r="189" spans="1:48" x14ac:dyDescent="0.2">
      <c r="A189" s="534" t="s">
        <v>344</v>
      </c>
      <c r="B189" s="48" t="s">
        <v>227</v>
      </c>
      <c r="C189" s="49">
        <v>353.1</v>
      </c>
      <c r="D189" s="49">
        <f t="shared" si="107"/>
        <v>353.1</v>
      </c>
      <c r="E189" s="50"/>
      <c r="F189" s="50">
        <f t="shared" si="108"/>
        <v>0</v>
      </c>
      <c r="G189" s="50"/>
      <c r="H189" s="50">
        <f t="shared" si="109"/>
        <v>0</v>
      </c>
      <c r="I189" s="50"/>
      <c r="J189" s="50">
        <f t="shared" si="110"/>
        <v>0</v>
      </c>
      <c r="K189" s="50"/>
      <c r="L189" s="50">
        <f t="shared" si="111"/>
        <v>0</v>
      </c>
      <c r="M189" s="50"/>
      <c r="N189" s="50">
        <f t="shared" si="112"/>
        <v>0</v>
      </c>
      <c r="O189" s="50"/>
      <c r="P189" s="50"/>
      <c r="Q189" s="50"/>
      <c r="R189" s="50">
        <f t="shared" si="113"/>
        <v>0</v>
      </c>
      <c r="S189" s="50"/>
      <c r="T189" s="50">
        <f t="shared" si="114"/>
        <v>0</v>
      </c>
      <c r="U189" s="50"/>
      <c r="V189" s="50">
        <f t="shared" si="115"/>
        <v>0</v>
      </c>
      <c r="W189" s="50"/>
      <c r="X189" s="50">
        <f>+D189*W189</f>
        <v>0</v>
      </c>
      <c r="Y189" s="50"/>
      <c r="Z189" s="50">
        <f>+D189*Y189</f>
        <v>0</v>
      </c>
      <c r="AA189" s="50"/>
      <c r="AB189" s="50">
        <f>+D189*AA189</f>
        <v>0</v>
      </c>
      <c r="AC189" s="50"/>
      <c r="AD189" s="50"/>
      <c r="AE189" s="50"/>
      <c r="AF189" s="50">
        <f t="shared" ref="AF189:AF216" si="116">+D189*AE189</f>
        <v>0</v>
      </c>
      <c r="AG189" s="50"/>
      <c r="AH189" s="50">
        <f t="shared" ref="AH189:AH216" si="117">+D189*AG189</f>
        <v>0</v>
      </c>
      <c r="AI189" s="50"/>
      <c r="AJ189" s="50">
        <f t="shared" ref="AJ189:AJ216" si="118">+D189*AI189</f>
        <v>0</v>
      </c>
      <c r="AK189" s="50"/>
      <c r="AL189" s="50">
        <f t="shared" ref="AL189:AL216" si="119">D189*AK189</f>
        <v>0</v>
      </c>
      <c r="AM189" s="50"/>
      <c r="AN189" s="50">
        <f t="shared" ref="AN189:AN216" si="120">D189*AM189</f>
        <v>0</v>
      </c>
      <c r="AO189" s="50"/>
      <c r="AP189" s="50">
        <f t="shared" ref="AP189:AP216" si="121">+D189*AO189</f>
        <v>0</v>
      </c>
      <c r="AQ189" s="50"/>
      <c r="AR189" s="50">
        <f t="shared" ref="AR189:AR216" si="122">+AQ189*D189</f>
        <v>0</v>
      </c>
      <c r="AS189" s="50"/>
      <c r="AT189" s="50">
        <f t="shared" ref="AT189:AT216" si="123">+D189*AS189</f>
        <v>0</v>
      </c>
      <c r="AU189" s="260"/>
      <c r="AV189" s="27">
        <f t="shared" ref="AV189:AV216" si="124">D189*AU189</f>
        <v>0</v>
      </c>
    </row>
    <row r="190" spans="1:48" x14ac:dyDescent="0.2">
      <c r="A190" s="220" t="s">
        <v>1003</v>
      </c>
      <c r="B190" s="48" t="s">
        <v>227</v>
      </c>
      <c r="C190" s="149">
        <v>1.6589299454306197</v>
      </c>
      <c r="D190" s="49">
        <f t="shared" si="107"/>
        <v>1.66</v>
      </c>
      <c r="E190" s="50"/>
      <c r="F190" s="50">
        <f t="shared" si="108"/>
        <v>0</v>
      </c>
      <c r="G190" s="50"/>
      <c r="H190" s="50">
        <f t="shared" si="109"/>
        <v>0</v>
      </c>
      <c r="I190" s="50"/>
      <c r="J190" s="50">
        <f t="shared" si="110"/>
        <v>0</v>
      </c>
      <c r="K190" s="50"/>
      <c r="L190" s="50">
        <f t="shared" si="111"/>
        <v>0</v>
      </c>
      <c r="M190" s="50"/>
      <c r="N190" s="50">
        <f t="shared" si="112"/>
        <v>0</v>
      </c>
      <c r="O190" s="50"/>
      <c r="P190" s="50"/>
      <c r="Q190" s="50"/>
      <c r="R190" s="50">
        <f t="shared" si="113"/>
        <v>0</v>
      </c>
      <c r="S190" s="50"/>
      <c r="T190" s="50">
        <f t="shared" si="114"/>
        <v>0</v>
      </c>
      <c r="U190" s="50"/>
      <c r="V190" s="50">
        <f t="shared" si="115"/>
        <v>0</v>
      </c>
      <c r="W190" s="50"/>
      <c r="X190" s="50">
        <f>+D190*W190</f>
        <v>0</v>
      </c>
      <c r="Y190" s="50"/>
      <c r="Z190" s="50">
        <f>+D190*Y190</f>
        <v>0</v>
      </c>
      <c r="AA190" s="50"/>
      <c r="AB190" s="50">
        <f>+D190*AA190</f>
        <v>0</v>
      </c>
      <c r="AC190" s="50"/>
      <c r="AD190" s="50"/>
      <c r="AE190" s="50"/>
      <c r="AF190" s="50">
        <f t="shared" si="116"/>
        <v>0</v>
      </c>
      <c r="AG190" s="50"/>
      <c r="AH190" s="50">
        <f t="shared" si="117"/>
        <v>0</v>
      </c>
      <c r="AI190" s="50"/>
      <c r="AJ190" s="50">
        <f t="shared" si="118"/>
        <v>0</v>
      </c>
      <c r="AK190" s="50"/>
      <c r="AL190" s="50">
        <f t="shared" si="119"/>
        <v>0</v>
      </c>
      <c r="AM190" s="50"/>
      <c r="AN190" s="50">
        <f t="shared" si="120"/>
        <v>0</v>
      </c>
      <c r="AO190" s="50"/>
      <c r="AP190" s="50">
        <f t="shared" si="121"/>
        <v>0</v>
      </c>
      <c r="AQ190" s="50"/>
      <c r="AR190" s="50">
        <f t="shared" si="122"/>
        <v>0</v>
      </c>
      <c r="AS190" s="50"/>
      <c r="AT190" s="50">
        <f t="shared" si="123"/>
        <v>0</v>
      </c>
      <c r="AU190" s="260"/>
      <c r="AV190" s="27">
        <f t="shared" si="124"/>
        <v>0</v>
      </c>
    </row>
    <row r="191" spans="1:48" x14ac:dyDescent="0.2">
      <c r="A191" s="47" t="s">
        <v>1002</v>
      </c>
      <c r="B191" s="48" t="s">
        <v>227</v>
      </c>
      <c r="C191" s="149">
        <v>6.7854250332155157</v>
      </c>
      <c r="D191" s="49">
        <f t="shared" si="107"/>
        <v>6.79</v>
      </c>
      <c r="E191" s="50"/>
      <c r="F191" s="50">
        <f t="shared" si="108"/>
        <v>0</v>
      </c>
      <c r="G191" s="50"/>
      <c r="H191" s="50">
        <f t="shared" si="109"/>
        <v>0</v>
      </c>
      <c r="I191" s="50"/>
      <c r="J191" s="50">
        <f t="shared" si="110"/>
        <v>0</v>
      </c>
      <c r="K191" s="50"/>
      <c r="L191" s="50">
        <f t="shared" si="111"/>
        <v>0</v>
      </c>
      <c r="M191" s="50"/>
      <c r="N191" s="50">
        <f t="shared" si="112"/>
        <v>0</v>
      </c>
      <c r="O191" s="50"/>
      <c r="P191" s="50"/>
      <c r="Q191" s="50"/>
      <c r="R191" s="50">
        <f t="shared" si="113"/>
        <v>0</v>
      </c>
      <c r="S191" s="50"/>
      <c r="T191" s="50">
        <f t="shared" si="114"/>
        <v>0</v>
      </c>
      <c r="U191" s="50"/>
      <c r="V191" s="50">
        <f t="shared" si="115"/>
        <v>0</v>
      </c>
      <c r="W191" s="50"/>
      <c r="X191" s="50">
        <f>+D191*W191</f>
        <v>0</v>
      </c>
      <c r="Y191" s="50"/>
      <c r="Z191" s="50">
        <f>+D191*Y191</f>
        <v>0</v>
      </c>
      <c r="AA191" s="50"/>
      <c r="AB191" s="50">
        <f>+D191*AA191</f>
        <v>0</v>
      </c>
      <c r="AC191" s="50"/>
      <c r="AD191" s="50"/>
      <c r="AE191" s="50"/>
      <c r="AF191" s="50">
        <f t="shared" si="116"/>
        <v>0</v>
      </c>
      <c r="AG191" s="50"/>
      <c r="AH191" s="50">
        <f t="shared" si="117"/>
        <v>0</v>
      </c>
      <c r="AI191" s="50"/>
      <c r="AJ191" s="50">
        <f t="shared" si="118"/>
        <v>0</v>
      </c>
      <c r="AK191" s="50"/>
      <c r="AL191" s="50">
        <f t="shared" si="119"/>
        <v>0</v>
      </c>
      <c r="AM191" s="50"/>
      <c r="AN191" s="50">
        <f t="shared" si="120"/>
        <v>0</v>
      </c>
      <c r="AO191" s="50"/>
      <c r="AP191" s="50">
        <f t="shared" si="121"/>
        <v>0</v>
      </c>
      <c r="AQ191" s="50"/>
      <c r="AR191" s="50">
        <f t="shared" si="122"/>
        <v>0</v>
      </c>
      <c r="AS191" s="50"/>
      <c r="AT191" s="50">
        <f t="shared" si="123"/>
        <v>0</v>
      </c>
      <c r="AU191" s="260"/>
      <c r="AV191" s="27">
        <f t="shared" si="124"/>
        <v>0</v>
      </c>
    </row>
    <row r="192" spans="1:48" x14ac:dyDescent="0.2">
      <c r="A192" s="534" t="s">
        <v>345</v>
      </c>
      <c r="B192" s="48" t="s">
        <v>227</v>
      </c>
      <c r="C192" s="49">
        <v>12.84</v>
      </c>
      <c r="D192" s="49">
        <f t="shared" si="107"/>
        <v>12.84</v>
      </c>
      <c r="E192" s="50"/>
      <c r="F192" s="50">
        <f t="shared" si="108"/>
        <v>0</v>
      </c>
      <c r="G192" s="50"/>
      <c r="H192" s="50">
        <f t="shared" si="109"/>
        <v>0</v>
      </c>
      <c r="I192" s="50"/>
      <c r="J192" s="50">
        <f t="shared" si="110"/>
        <v>0</v>
      </c>
      <c r="K192" s="50"/>
      <c r="L192" s="50">
        <f t="shared" si="111"/>
        <v>0</v>
      </c>
      <c r="M192" s="50"/>
      <c r="N192" s="50">
        <f t="shared" si="112"/>
        <v>0</v>
      </c>
      <c r="O192" s="50"/>
      <c r="P192" s="50"/>
      <c r="Q192" s="50"/>
      <c r="R192" s="50">
        <f t="shared" si="113"/>
        <v>0</v>
      </c>
      <c r="S192" s="50"/>
      <c r="T192" s="50">
        <f t="shared" si="114"/>
        <v>0</v>
      </c>
      <c r="U192" s="50"/>
      <c r="V192" s="50">
        <f t="shared" si="115"/>
        <v>0</v>
      </c>
      <c r="W192" s="50"/>
      <c r="X192" s="50">
        <f>+D192*W192</f>
        <v>0</v>
      </c>
      <c r="Y192" s="50"/>
      <c r="Z192" s="50">
        <f>+D192*Y192</f>
        <v>0</v>
      </c>
      <c r="AA192" s="50"/>
      <c r="AB192" s="50">
        <f>+D192*AA192</f>
        <v>0</v>
      </c>
      <c r="AC192" s="50"/>
      <c r="AD192" s="50"/>
      <c r="AE192" s="50"/>
      <c r="AF192" s="50">
        <f t="shared" si="116"/>
        <v>0</v>
      </c>
      <c r="AG192" s="50"/>
      <c r="AH192" s="50">
        <f t="shared" si="117"/>
        <v>0</v>
      </c>
      <c r="AI192" s="50"/>
      <c r="AJ192" s="50">
        <f t="shared" si="118"/>
        <v>0</v>
      </c>
      <c r="AK192" s="50"/>
      <c r="AL192" s="50">
        <f t="shared" si="119"/>
        <v>0</v>
      </c>
      <c r="AM192" s="50"/>
      <c r="AN192" s="50">
        <f t="shared" si="120"/>
        <v>0</v>
      </c>
      <c r="AO192" s="50"/>
      <c r="AP192" s="50">
        <f t="shared" si="121"/>
        <v>0</v>
      </c>
      <c r="AQ192" s="50"/>
      <c r="AR192" s="50">
        <f t="shared" si="122"/>
        <v>0</v>
      </c>
      <c r="AS192" s="50"/>
      <c r="AT192" s="50">
        <f t="shared" si="123"/>
        <v>0</v>
      </c>
      <c r="AU192" s="260"/>
      <c r="AV192" s="260">
        <f t="shared" si="124"/>
        <v>0</v>
      </c>
    </row>
    <row r="193" spans="1:138" x14ac:dyDescent="0.2">
      <c r="A193" s="534" t="s">
        <v>346</v>
      </c>
      <c r="B193" s="48" t="s">
        <v>227</v>
      </c>
      <c r="C193" s="49">
        <v>12.84</v>
      </c>
      <c r="D193" s="49">
        <f t="shared" si="107"/>
        <v>12.84</v>
      </c>
      <c r="E193" s="49"/>
      <c r="F193" s="50">
        <f t="shared" si="108"/>
        <v>0</v>
      </c>
      <c r="G193" s="50">
        <f t="shared" ref="G193:G205" si="125">F193*$F$7</f>
        <v>0</v>
      </c>
      <c r="H193" s="50">
        <f t="shared" si="109"/>
        <v>0</v>
      </c>
      <c r="I193" s="50">
        <f t="shared" ref="I193:I205" si="126">+H193*$H$7</f>
        <v>0</v>
      </c>
      <c r="J193" s="50">
        <f t="shared" si="110"/>
        <v>0</v>
      </c>
      <c r="K193" s="50"/>
      <c r="L193" s="50">
        <f t="shared" si="111"/>
        <v>0</v>
      </c>
      <c r="M193" s="50">
        <f t="shared" ref="M193:M205" si="127">L193*$L$7</f>
        <v>0</v>
      </c>
      <c r="N193" s="50">
        <f t="shared" si="112"/>
        <v>0</v>
      </c>
      <c r="O193" s="50"/>
      <c r="P193" s="50"/>
      <c r="Q193" s="50">
        <f t="shared" ref="Q193:Q205" si="128">N193*$N$7</f>
        <v>0</v>
      </c>
      <c r="R193" s="50">
        <f t="shared" si="113"/>
        <v>0</v>
      </c>
      <c r="S193" s="50">
        <f t="shared" ref="S193:S205" si="129">R193*$R$7</f>
        <v>0</v>
      </c>
      <c r="T193" s="50">
        <f t="shared" si="114"/>
        <v>0</v>
      </c>
      <c r="U193" s="50">
        <f t="shared" ref="U193:U205" si="130">T193*$T$7</f>
        <v>0</v>
      </c>
      <c r="V193" s="50">
        <f t="shared" si="115"/>
        <v>0</v>
      </c>
      <c r="W193" s="50"/>
      <c r="X193" s="50"/>
      <c r="Y193" s="50"/>
      <c r="Z193" s="50"/>
      <c r="AA193" s="50"/>
      <c r="AB193" s="50"/>
      <c r="AC193" s="50"/>
      <c r="AD193" s="50"/>
      <c r="AE193" s="50"/>
      <c r="AF193" s="50">
        <f t="shared" si="116"/>
        <v>0</v>
      </c>
      <c r="AG193" s="50"/>
      <c r="AH193" s="50">
        <f t="shared" si="117"/>
        <v>0</v>
      </c>
      <c r="AI193" s="50"/>
      <c r="AJ193" s="50">
        <f t="shared" si="118"/>
        <v>0</v>
      </c>
      <c r="AK193" s="50"/>
      <c r="AL193" s="50">
        <f t="shared" si="119"/>
        <v>0</v>
      </c>
      <c r="AM193" s="50"/>
      <c r="AN193" s="50">
        <f t="shared" si="120"/>
        <v>0</v>
      </c>
      <c r="AO193" s="50"/>
      <c r="AP193" s="50">
        <f t="shared" si="121"/>
        <v>0</v>
      </c>
      <c r="AQ193" s="50"/>
      <c r="AR193" s="50">
        <f t="shared" si="122"/>
        <v>0</v>
      </c>
      <c r="AS193" s="50"/>
      <c r="AT193" s="50">
        <f t="shared" si="123"/>
        <v>0</v>
      </c>
      <c r="AU193" s="260"/>
      <c r="AV193" s="260">
        <f t="shared" si="124"/>
        <v>0</v>
      </c>
    </row>
    <row r="194" spans="1:138" x14ac:dyDescent="0.2">
      <c r="A194" s="534" t="s">
        <v>347</v>
      </c>
      <c r="B194" s="48" t="s">
        <v>227</v>
      </c>
      <c r="C194" s="49">
        <v>25.68</v>
      </c>
      <c r="D194" s="49">
        <f t="shared" si="107"/>
        <v>25.68</v>
      </c>
      <c r="E194" s="49"/>
      <c r="F194" s="50">
        <f t="shared" si="108"/>
        <v>0</v>
      </c>
      <c r="G194" s="50">
        <f t="shared" si="125"/>
        <v>0</v>
      </c>
      <c r="H194" s="50">
        <f t="shared" si="109"/>
        <v>0</v>
      </c>
      <c r="I194" s="50">
        <f t="shared" si="126"/>
        <v>0</v>
      </c>
      <c r="J194" s="50">
        <f t="shared" si="110"/>
        <v>0</v>
      </c>
      <c r="K194" s="50"/>
      <c r="L194" s="50">
        <f t="shared" si="111"/>
        <v>0</v>
      </c>
      <c r="M194" s="50">
        <f t="shared" si="127"/>
        <v>0</v>
      </c>
      <c r="N194" s="50">
        <f t="shared" si="112"/>
        <v>0</v>
      </c>
      <c r="O194" s="50"/>
      <c r="P194" s="50"/>
      <c r="Q194" s="50">
        <f t="shared" si="128"/>
        <v>0</v>
      </c>
      <c r="R194" s="50">
        <f t="shared" si="113"/>
        <v>0</v>
      </c>
      <c r="S194" s="50">
        <f t="shared" si="129"/>
        <v>0</v>
      </c>
      <c r="T194" s="50">
        <f t="shared" si="114"/>
        <v>0</v>
      </c>
      <c r="U194" s="50">
        <f t="shared" si="130"/>
        <v>0</v>
      </c>
      <c r="V194" s="50">
        <f t="shared" si="115"/>
        <v>0</v>
      </c>
      <c r="W194" s="50"/>
      <c r="X194" s="50"/>
      <c r="Y194" s="50"/>
      <c r="Z194" s="50"/>
      <c r="AA194" s="50"/>
      <c r="AB194" s="50"/>
      <c r="AC194" s="50"/>
      <c r="AD194" s="50"/>
      <c r="AE194" s="50"/>
      <c r="AF194" s="50">
        <f t="shared" si="116"/>
        <v>0</v>
      </c>
      <c r="AG194" s="50"/>
      <c r="AH194" s="50">
        <f t="shared" si="117"/>
        <v>0</v>
      </c>
      <c r="AI194" s="50"/>
      <c r="AJ194" s="50">
        <f t="shared" si="118"/>
        <v>0</v>
      </c>
      <c r="AK194" s="50"/>
      <c r="AL194" s="50">
        <f t="shared" si="119"/>
        <v>0</v>
      </c>
      <c r="AM194" s="50"/>
      <c r="AN194" s="50">
        <f t="shared" si="120"/>
        <v>0</v>
      </c>
      <c r="AO194" s="50"/>
      <c r="AP194" s="50">
        <f t="shared" si="121"/>
        <v>0</v>
      </c>
      <c r="AQ194" s="50"/>
      <c r="AR194" s="50">
        <f t="shared" si="122"/>
        <v>0</v>
      </c>
      <c r="AS194" s="50"/>
      <c r="AT194" s="50">
        <f t="shared" si="123"/>
        <v>0</v>
      </c>
      <c r="AU194" s="260"/>
      <c r="AV194" s="260">
        <f t="shared" si="124"/>
        <v>0</v>
      </c>
    </row>
    <row r="195" spans="1:138" x14ac:dyDescent="0.2">
      <c r="A195" s="534" t="s">
        <v>348</v>
      </c>
      <c r="B195" s="48" t="s">
        <v>227</v>
      </c>
      <c r="C195" s="49">
        <v>16.05</v>
      </c>
      <c r="D195" s="49">
        <f t="shared" si="107"/>
        <v>16.05</v>
      </c>
      <c r="E195" s="49"/>
      <c r="F195" s="50">
        <f t="shared" si="108"/>
        <v>0</v>
      </c>
      <c r="G195" s="50">
        <f t="shared" si="125"/>
        <v>0</v>
      </c>
      <c r="H195" s="50">
        <f t="shared" si="109"/>
        <v>0</v>
      </c>
      <c r="I195" s="50">
        <f t="shared" si="126"/>
        <v>0</v>
      </c>
      <c r="J195" s="50">
        <f t="shared" si="110"/>
        <v>0</v>
      </c>
      <c r="K195" s="50"/>
      <c r="L195" s="50">
        <f t="shared" si="111"/>
        <v>0</v>
      </c>
      <c r="M195" s="50">
        <f t="shared" si="127"/>
        <v>0</v>
      </c>
      <c r="N195" s="50">
        <f t="shared" si="112"/>
        <v>0</v>
      </c>
      <c r="O195" s="50"/>
      <c r="P195" s="50"/>
      <c r="Q195" s="50">
        <f t="shared" si="128"/>
        <v>0</v>
      </c>
      <c r="R195" s="50">
        <f t="shared" si="113"/>
        <v>0</v>
      </c>
      <c r="S195" s="50">
        <f t="shared" si="129"/>
        <v>0</v>
      </c>
      <c r="T195" s="50">
        <f t="shared" si="114"/>
        <v>0</v>
      </c>
      <c r="U195" s="50">
        <f t="shared" si="130"/>
        <v>0</v>
      </c>
      <c r="V195" s="50">
        <f t="shared" si="115"/>
        <v>0</v>
      </c>
      <c r="W195" s="50"/>
      <c r="X195" s="50"/>
      <c r="Y195" s="50"/>
      <c r="Z195" s="50"/>
      <c r="AA195" s="50"/>
      <c r="AB195" s="50"/>
      <c r="AC195" s="50"/>
      <c r="AD195" s="50"/>
      <c r="AE195" s="50"/>
      <c r="AF195" s="50">
        <f t="shared" si="116"/>
        <v>0</v>
      </c>
      <c r="AG195" s="50"/>
      <c r="AH195" s="50">
        <f t="shared" si="117"/>
        <v>0</v>
      </c>
      <c r="AI195" s="50"/>
      <c r="AJ195" s="50">
        <f t="shared" si="118"/>
        <v>0</v>
      </c>
      <c r="AK195" s="50"/>
      <c r="AL195" s="50">
        <f t="shared" si="119"/>
        <v>0</v>
      </c>
      <c r="AM195" s="50"/>
      <c r="AN195" s="50">
        <f t="shared" si="120"/>
        <v>0</v>
      </c>
      <c r="AO195" s="50"/>
      <c r="AP195" s="50">
        <f t="shared" si="121"/>
        <v>0</v>
      </c>
      <c r="AQ195" s="50"/>
      <c r="AR195" s="50">
        <f t="shared" si="122"/>
        <v>0</v>
      </c>
      <c r="AS195" s="50"/>
      <c r="AT195" s="50">
        <f t="shared" si="123"/>
        <v>0</v>
      </c>
      <c r="AU195" s="260"/>
      <c r="AV195" s="260">
        <f t="shared" si="124"/>
        <v>0</v>
      </c>
    </row>
    <row r="196" spans="1:138" x14ac:dyDescent="0.2">
      <c r="A196" s="534" t="s">
        <v>349</v>
      </c>
      <c r="B196" s="48" t="s">
        <v>227</v>
      </c>
      <c r="C196" s="49">
        <v>8.0250000000000004</v>
      </c>
      <c r="D196" s="49">
        <f t="shared" si="107"/>
        <v>8.0299999999999994</v>
      </c>
      <c r="E196" s="49"/>
      <c r="F196" s="50">
        <f t="shared" si="108"/>
        <v>0</v>
      </c>
      <c r="G196" s="50">
        <f t="shared" si="125"/>
        <v>0</v>
      </c>
      <c r="H196" s="50">
        <f t="shared" si="109"/>
        <v>0</v>
      </c>
      <c r="I196" s="50">
        <f t="shared" si="126"/>
        <v>0</v>
      </c>
      <c r="J196" s="50">
        <f t="shared" si="110"/>
        <v>0</v>
      </c>
      <c r="K196" s="50"/>
      <c r="L196" s="50">
        <f t="shared" si="111"/>
        <v>0</v>
      </c>
      <c r="M196" s="50">
        <f t="shared" si="127"/>
        <v>0</v>
      </c>
      <c r="N196" s="50">
        <f t="shared" si="112"/>
        <v>0</v>
      </c>
      <c r="O196" s="50"/>
      <c r="P196" s="50"/>
      <c r="Q196" s="50">
        <f t="shared" si="128"/>
        <v>0</v>
      </c>
      <c r="R196" s="50">
        <f t="shared" si="113"/>
        <v>0</v>
      </c>
      <c r="S196" s="50">
        <f t="shared" si="129"/>
        <v>0</v>
      </c>
      <c r="T196" s="50">
        <f t="shared" si="114"/>
        <v>0</v>
      </c>
      <c r="U196" s="50">
        <f t="shared" si="130"/>
        <v>0</v>
      </c>
      <c r="V196" s="50">
        <f t="shared" si="115"/>
        <v>0</v>
      </c>
      <c r="W196" s="50"/>
      <c r="X196" s="50"/>
      <c r="Y196" s="50"/>
      <c r="Z196" s="50"/>
      <c r="AA196" s="50"/>
      <c r="AB196" s="50"/>
      <c r="AC196" s="50"/>
      <c r="AD196" s="50"/>
      <c r="AE196" s="50"/>
      <c r="AF196" s="50">
        <f t="shared" si="116"/>
        <v>0</v>
      </c>
      <c r="AG196" s="50"/>
      <c r="AH196" s="50">
        <f t="shared" si="117"/>
        <v>0</v>
      </c>
      <c r="AI196" s="50"/>
      <c r="AJ196" s="50">
        <f t="shared" si="118"/>
        <v>0</v>
      </c>
      <c r="AK196" s="50"/>
      <c r="AL196" s="50">
        <f t="shared" si="119"/>
        <v>0</v>
      </c>
      <c r="AM196" s="50"/>
      <c r="AN196" s="50">
        <f t="shared" si="120"/>
        <v>0</v>
      </c>
      <c r="AO196" s="50"/>
      <c r="AP196" s="50">
        <f t="shared" si="121"/>
        <v>0</v>
      </c>
      <c r="AQ196" s="50"/>
      <c r="AR196" s="50">
        <f t="shared" si="122"/>
        <v>0</v>
      </c>
      <c r="AS196" s="50"/>
      <c r="AT196" s="50">
        <f t="shared" si="123"/>
        <v>0</v>
      </c>
      <c r="AU196" s="260"/>
      <c r="AV196" s="260">
        <f t="shared" si="124"/>
        <v>0</v>
      </c>
    </row>
    <row r="197" spans="1:138" x14ac:dyDescent="0.2">
      <c r="A197" s="534" t="s">
        <v>350</v>
      </c>
      <c r="B197" s="48" t="s">
        <v>227</v>
      </c>
      <c r="C197" s="149">
        <v>20.346459103575906</v>
      </c>
      <c r="D197" s="49">
        <f t="shared" si="107"/>
        <v>20.350000000000001</v>
      </c>
      <c r="E197" s="49"/>
      <c r="F197" s="50">
        <f t="shared" si="108"/>
        <v>0</v>
      </c>
      <c r="G197" s="50">
        <f t="shared" si="125"/>
        <v>0</v>
      </c>
      <c r="H197" s="50">
        <f t="shared" si="109"/>
        <v>0</v>
      </c>
      <c r="I197" s="50">
        <f t="shared" si="126"/>
        <v>0</v>
      </c>
      <c r="J197" s="50">
        <f t="shared" si="110"/>
        <v>0</v>
      </c>
      <c r="K197" s="50"/>
      <c r="L197" s="50">
        <f t="shared" si="111"/>
        <v>0</v>
      </c>
      <c r="M197" s="50">
        <f t="shared" si="127"/>
        <v>0</v>
      </c>
      <c r="N197" s="50">
        <f t="shared" si="112"/>
        <v>0</v>
      </c>
      <c r="O197" s="50"/>
      <c r="P197" s="50"/>
      <c r="Q197" s="50">
        <f t="shared" si="128"/>
        <v>0</v>
      </c>
      <c r="R197" s="50">
        <f t="shared" si="113"/>
        <v>0</v>
      </c>
      <c r="S197" s="50">
        <f t="shared" si="129"/>
        <v>0</v>
      </c>
      <c r="T197" s="50">
        <f t="shared" si="114"/>
        <v>0</v>
      </c>
      <c r="U197" s="50">
        <f t="shared" si="130"/>
        <v>0</v>
      </c>
      <c r="V197" s="50">
        <f t="shared" si="115"/>
        <v>0</v>
      </c>
      <c r="W197" s="50"/>
      <c r="X197" s="50"/>
      <c r="Y197" s="50"/>
      <c r="Z197" s="50"/>
      <c r="AA197" s="50"/>
      <c r="AB197" s="50"/>
      <c r="AC197" s="50"/>
      <c r="AD197" s="50"/>
      <c r="AE197" s="50"/>
      <c r="AF197" s="50">
        <f t="shared" si="116"/>
        <v>0</v>
      </c>
      <c r="AG197" s="50"/>
      <c r="AH197" s="50">
        <f t="shared" si="117"/>
        <v>0</v>
      </c>
      <c r="AI197" s="50"/>
      <c r="AJ197" s="50">
        <f t="shared" si="118"/>
        <v>0</v>
      </c>
      <c r="AK197" s="50"/>
      <c r="AL197" s="50">
        <f t="shared" si="119"/>
        <v>0</v>
      </c>
      <c r="AM197" s="50"/>
      <c r="AN197" s="50">
        <f t="shared" si="120"/>
        <v>0</v>
      </c>
      <c r="AO197" s="50"/>
      <c r="AP197" s="50">
        <f t="shared" si="121"/>
        <v>0</v>
      </c>
      <c r="AQ197" s="50"/>
      <c r="AR197" s="50">
        <f t="shared" si="122"/>
        <v>0</v>
      </c>
      <c r="AS197" s="50"/>
      <c r="AT197" s="50">
        <f t="shared" si="123"/>
        <v>0</v>
      </c>
      <c r="AU197" s="260"/>
      <c r="AV197" s="260">
        <f t="shared" si="124"/>
        <v>0</v>
      </c>
    </row>
    <row r="198" spans="1:138" x14ac:dyDescent="0.2">
      <c r="A198" s="534" t="s">
        <v>351</v>
      </c>
      <c r="B198" s="48" t="s">
        <v>227</v>
      </c>
      <c r="C198" s="49">
        <v>18.190000000000001</v>
      </c>
      <c r="D198" s="49">
        <f t="shared" si="107"/>
        <v>18.190000000000001</v>
      </c>
      <c r="E198" s="49"/>
      <c r="F198" s="50">
        <f t="shared" si="108"/>
        <v>0</v>
      </c>
      <c r="G198" s="50">
        <f t="shared" si="125"/>
        <v>0</v>
      </c>
      <c r="H198" s="50">
        <f t="shared" si="109"/>
        <v>0</v>
      </c>
      <c r="I198" s="50">
        <f t="shared" si="126"/>
        <v>0</v>
      </c>
      <c r="J198" s="50">
        <f t="shared" si="110"/>
        <v>0</v>
      </c>
      <c r="K198" s="50"/>
      <c r="L198" s="50">
        <f t="shared" si="111"/>
        <v>0</v>
      </c>
      <c r="M198" s="50">
        <f t="shared" si="127"/>
        <v>0</v>
      </c>
      <c r="N198" s="50">
        <f t="shared" si="112"/>
        <v>0</v>
      </c>
      <c r="O198" s="50"/>
      <c r="P198" s="50"/>
      <c r="Q198" s="50">
        <f t="shared" si="128"/>
        <v>0</v>
      </c>
      <c r="R198" s="50">
        <f t="shared" si="113"/>
        <v>0</v>
      </c>
      <c r="S198" s="50">
        <f t="shared" si="129"/>
        <v>0</v>
      </c>
      <c r="T198" s="50">
        <f t="shared" si="114"/>
        <v>0</v>
      </c>
      <c r="U198" s="50">
        <f t="shared" si="130"/>
        <v>0</v>
      </c>
      <c r="V198" s="50">
        <f t="shared" si="115"/>
        <v>0</v>
      </c>
      <c r="W198" s="50"/>
      <c r="X198" s="50"/>
      <c r="Y198" s="50"/>
      <c r="Z198" s="50"/>
      <c r="AA198" s="50"/>
      <c r="AB198" s="50"/>
      <c r="AC198" s="50"/>
      <c r="AD198" s="50"/>
      <c r="AE198" s="50"/>
      <c r="AF198" s="50">
        <f t="shared" si="116"/>
        <v>0</v>
      </c>
      <c r="AG198" s="50"/>
      <c r="AH198" s="50">
        <f t="shared" si="117"/>
        <v>0</v>
      </c>
      <c r="AI198" s="50"/>
      <c r="AJ198" s="50">
        <f t="shared" si="118"/>
        <v>0</v>
      </c>
      <c r="AK198" s="50"/>
      <c r="AL198" s="50">
        <f t="shared" si="119"/>
        <v>0</v>
      </c>
      <c r="AM198" s="50"/>
      <c r="AN198" s="50">
        <f t="shared" si="120"/>
        <v>0</v>
      </c>
      <c r="AO198" s="50"/>
      <c r="AP198" s="50">
        <f t="shared" si="121"/>
        <v>0</v>
      </c>
      <c r="AQ198" s="50"/>
      <c r="AR198" s="50">
        <f t="shared" si="122"/>
        <v>0</v>
      </c>
      <c r="AS198" s="50"/>
      <c r="AT198" s="50">
        <f t="shared" si="123"/>
        <v>0</v>
      </c>
      <c r="AU198" s="260"/>
      <c r="AV198" s="260">
        <f t="shared" si="124"/>
        <v>0</v>
      </c>
    </row>
    <row r="199" spans="1:138" x14ac:dyDescent="0.2">
      <c r="A199" s="534" t="s">
        <v>352</v>
      </c>
      <c r="B199" s="48" t="s">
        <v>227</v>
      </c>
      <c r="C199" s="49">
        <v>132.83000000000001</v>
      </c>
      <c r="D199" s="49">
        <f t="shared" si="107"/>
        <v>132.83000000000001</v>
      </c>
      <c r="E199" s="49"/>
      <c r="F199" s="50">
        <f t="shared" si="108"/>
        <v>0</v>
      </c>
      <c r="G199" s="50">
        <f t="shared" si="125"/>
        <v>0</v>
      </c>
      <c r="H199" s="50">
        <f t="shared" si="109"/>
        <v>0</v>
      </c>
      <c r="I199" s="50">
        <f t="shared" si="126"/>
        <v>0</v>
      </c>
      <c r="J199" s="50">
        <f t="shared" si="110"/>
        <v>0</v>
      </c>
      <c r="K199" s="50"/>
      <c r="L199" s="50">
        <f t="shared" si="111"/>
        <v>0</v>
      </c>
      <c r="M199" s="50">
        <f t="shared" si="127"/>
        <v>0</v>
      </c>
      <c r="N199" s="50">
        <f t="shared" si="112"/>
        <v>0</v>
      </c>
      <c r="O199" s="50"/>
      <c r="P199" s="50"/>
      <c r="Q199" s="50">
        <f t="shared" si="128"/>
        <v>0</v>
      </c>
      <c r="R199" s="50">
        <f t="shared" si="113"/>
        <v>0</v>
      </c>
      <c r="S199" s="50">
        <f t="shared" si="129"/>
        <v>0</v>
      </c>
      <c r="T199" s="50">
        <f t="shared" si="114"/>
        <v>0</v>
      </c>
      <c r="U199" s="50">
        <f t="shared" si="130"/>
        <v>0</v>
      </c>
      <c r="V199" s="50">
        <f t="shared" si="115"/>
        <v>0</v>
      </c>
      <c r="W199" s="50"/>
      <c r="X199" s="50"/>
      <c r="Y199" s="50"/>
      <c r="Z199" s="50"/>
      <c r="AA199" s="50"/>
      <c r="AB199" s="50"/>
      <c r="AC199" s="50"/>
      <c r="AD199" s="50"/>
      <c r="AE199" s="50"/>
      <c r="AF199" s="50">
        <f t="shared" si="116"/>
        <v>0</v>
      </c>
      <c r="AG199" s="50"/>
      <c r="AH199" s="50">
        <f t="shared" si="117"/>
        <v>0</v>
      </c>
      <c r="AI199" s="50"/>
      <c r="AJ199" s="50">
        <f t="shared" si="118"/>
        <v>0</v>
      </c>
      <c r="AK199" s="50"/>
      <c r="AL199" s="50">
        <f t="shared" si="119"/>
        <v>0</v>
      </c>
      <c r="AM199" s="50"/>
      <c r="AN199" s="50">
        <f t="shared" si="120"/>
        <v>0</v>
      </c>
      <c r="AO199" s="50"/>
      <c r="AP199" s="50">
        <f t="shared" si="121"/>
        <v>0</v>
      </c>
      <c r="AQ199" s="50"/>
      <c r="AR199" s="50">
        <f t="shared" si="122"/>
        <v>0</v>
      </c>
      <c r="AS199" s="50"/>
      <c r="AT199" s="50">
        <f t="shared" si="123"/>
        <v>0</v>
      </c>
      <c r="AU199" s="260"/>
      <c r="AV199" s="260">
        <f t="shared" si="124"/>
        <v>0</v>
      </c>
    </row>
    <row r="200" spans="1:138" x14ac:dyDescent="0.2">
      <c r="A200" s="47" t="s">
        <v>353</v>
      </c>
      <c r="B200" s="48" t="s">
        <v>227</v>
      </c>
      <c r="C200" s="479">
        <v>1264.912380434557</v>
      </c>
      <c r="D200" s="49">
        <f t="shared" si="107"/>
        <v>1264.9100000000001</v>
      </c>
      <c r="E200" s="49"/>
      <c r="F200" s="50">
        <f t="shared" si="108"/>
        <v>0</v>
      </c>
      <c r="G200" s="50">
        <f t="shared" si="125"/>
        <v>0</v>
      </c>
      <c r="H200" s="50">
        <f t="shared" si="109"/>
        <v>0</v>
      </c>
      <c r="I200" s="50">
        <f t="shared" si="126"/>
        <v>0</v>
      </c>
      <c r="J200" s="50">
        <f t="shared" si="110"/>
        <v>0</v>
      </c>
      <c r="K200" s="50"/>
      <c r="L200" s="50">
        <f t="shared" si="111"/>
        <v>0</v>
      </c>
      <c r="M200" s="50">
        <f t="shared" si="127"/>
        <v>0</v>
      </c>
      <c r="N200" s="50">
        <f t="shared" si="112"/>
        <v>0</v>
      </c>
      <c r="O200" s="50"/>
      <c r="P200" s="50"/>
      <c r="Q200" s="50">
        <f t="shared" si="128"/>
        <v>0</v>
      </c>
      <c r="R200" s="50">
        <f t="shared" si="113"/>
        <v>0</v>
      </c>
      <c r="S200" s="50">
        <f t="shared" si="129"/>
        <v>0</v>
      </c>
      <c r="T200" s="50">
        <f t="shared" si="114"/>
        <v>0</v>
      </c>
      <c r="U200" s="50">
        <f t="shared" si="130"/>
        <v>0</v>
      </c>
      <c r="V200" s="50">
        <f t="shared" si="115"/>
        <v>0</v>
      </c>
      <c r="W200" s="50"/>
      <c r="X200" s="50"/>
      <c r="Y200" s="50"/>
      <c r="Z200" s="50"/>
      <c r="AA200" s="50"/>
      <c r="AB200" s="50"/>
      <c r="AC200" s="50"/>
      <c r="AD200" s="50"/>
      <c r="AE200" s="50"/>
      <c r="AF200" s="50">
        <f t="shared" si="116"/>
        <v>0</v>
      </c>
      <c r="AG200" s="50"/>
      <c r="AH200" s="50">
        <f t="shared" si="117"/>
        <v>0</v>
      </c>
      <c r="AI200" s="50"/>
      <c r="AJ200" s="50">
        <f t="shared" si="118"/>
        <v>0</v>
      </c>
      <c r="AK200" s="50"/>
      <c r="AL200" s="50">
        <f t="shared" si="119"/>
        <v>0</v>
      </c>
      <c r="AM200" s="50"/>
      <c r="AN200" s="50">
        <f t="shared" si="120"/>
        <v>0</v>
      </c>
      <c r="AO200" s="50"/>
      <c r="AP200" s="50">
        <f t="shared" si="121"/>
        <v>0</v>
      </c>
      <c r="AQ200" s="50"/>
      <c r="AR200" s="50">
        <f t="shared" si="122"/>
        <v>0</v>
      </c>
      <c r="AS200" s="50"/>
      <c r="AT200" s="50">
        <f t="shared" si="123"/>
        <v>0</v>
      </c>
      <c r="AU200" s="260"/>
      <c r="AV200" s="260">
        <f t="shared" si="124"/>
        <v>0</v>
      </c>
    </row>
    <row r="201" spans="1:138" x14ac:dyDescent="0.2">
      <c r="A201" s="47" t="s">
        <v>354</v>
      </c>
      <c r="B201" s="48" t="s">
        <v>227</v>
      </c>
      <c r="C201" s="479">
        <v>1633.2306521642745</v>
      </c>
      <c r="D201" s="49">
        <f t="shared" si="107"/>
        <v>1633.23</v>
      </c>
      <c r="E201" s="49"/>
      <c r="F201" s="50">
        <f t="shared" si="108"/>
        <v>0</v>
      </c>
      <c r="G201" s="50">
        <f t="shared" si="125"/>
        <v>0</v>
      </c>
      <c r="H201" s="50">
        <f t="shared" si="109"/>
        <v>0</v>
      </c>
      <c r="I201" s="50">
        <f t="shared" si="126"/>
        <v>0</v>
      </c>
      <c r="J201" s="50">
        <f t="shared" si="110"/>
        <v>0</v>
      </c>
      <c r="K201" s="50"/>
      <c r="L201" s="50">
        <f t="shared" si="111"/>
        <v>0</v>
      </c>
      <c r="M201" s="50">
        <f t="shared" si="127"/>
        <v>0</v>
      </c>
      <c r="N201" s="50">
        <f t="shared" si="112"/>
        <v>0</v>
      </c>
      <c r="O201" s="50"/>
      <c r="P201" s="50"/>
      <c r="Q201" s="50">
        <f t="shared" si="128"/>
        <v>0</v>
      </c>
      <c r="R201" s="50">
        <f t="shared" si="113"/>
        <v>0</v>
      </c>
      <c r="S201" s="50">
        <f t="shared" si="129"/>
        <v>0</v>
      </c>
      <c r="T201" s="50">
        <f t="shared" si="114"/>
        <v>0</v>
      </c>
      <c r="U201" s="50">
        <f t="shared" si="130"/>
        <v>0</v>
      </c>
      <c r="V201" s="50">
        <f t="shared" si="115"/>
        <v>0</v>
      </c>
      <c r="W201" s="50"/>
      <c r="X201" s="50">
        <f t="shared" ref="X201:X216" si="131">+D201*W201</f>
        <v>0</v>
      </c>
      <c r="Y201" s="50">
        <f t="shared" ref="Y201:Y205" si="132">X201*$X$7</f>
        <v>0</v>
      </c>
      <c r="Z201" s="50">
        <f t="shared" ref="Z201:Z216" si="133">+D201*Y201</f>
        <v>0</v>
      </c>
      <c r="AA201" s="50"/>
      <c r="AB201" s="50"/>
      <c r="AC201" s="50"/>
      <c r="AD201" s="50"/>
      <c r="AE201" s="50"/>
      <c r="AF201" s="50">
        <f t="shared" si="116"/>
        <v>0</v>
      </c>
      <c r="AG201" s="50"/>
      <c r="AH201" s="50">
        <f t="shared" si="117"/>
        <v>0</v>
      </c>
      <c r="AI201" s="50"/>
      <c r="AJ201" s="50">
        <f t="shared" si="118"/>
        <v>0</v>
      </c>
      <c r="AK201" s="50"/>
      <c r="AL201" s="50">
        <f t="shared" si="119"/>
        <v>0</v>
      </c>
      <c r="AM201" s="50"/>
      <c r="AN201" s="50">
        <f t="shared" si="120"/>
        <v>0</v>
      </c>
      <c r="AO201" s="50"/>
      <c r="AP201" s="50">
        <f t="shared" si="121"/>
        <v>0</v>
      </c>
      <c r="AQ201" s="50"/>
      <c r="AR201" s="50">
        <f t="shared" si="122"/>
        <v>0</v>
      </c>
      <c r="AS201" s="50"/>
      <c r="AT201" s="50">
        <f t="shared" si="123"/>
        <v>0</v>
      </c>
      <c r="AU201" s="260"/>
      <c r="AV201" s="260">
        <f t="shared" si="124"/>
        <v>0</v>
      </c>
    </row>
    <row r="202" spans="1:138" x14ac:dyDescent="0.2">
      <c r="A202" s="47" t="s">
        <v>355</v>
      </c>
      <c r="B202" s="48" t="s">
        <v>227</v>
      </c>
      <c r="C202" s="479">
        <v>1818.0459193717638</v>
      </c>
      <c r="D202" s="49">
        <f t="shared" si="107"/>
        <v>1818.05</v>
      </c>
      <c r="E202" s="49"/>
      <c r="F202" s="50">
        <f t="shared" si="108"/>
        <v>0</v>
      </c>
      <c r="G202" s="50">
        <f t="shared" si="125"/>
        <v>0</v>
      </c>
      <c r="H202" s="50">
        <f t="shared" si="109"/>
        <v>0</v>
      </c>
      <c r="I202" s="50">
        <f t="shared" si="126"/>
        <v>0</v>
      </c>
      <c r="J202" s="50">
        <f t="shared" si="110"/>
        <v>0</v>
      </c>
      <c r="K202" s="50"/>
      <c r="L202" s="50">
        <f t="shared" si="111"/>
        <v>0</v>
      </c>
      <c r="M202" s="50">
        <f t="shared" si="127"/>
        <v>0</v>
      </c>
      <c r="N202" s="50">
        <f t="shared" si="112"/>
        <v>0</v>
      </c>
      <c r="O202" s="50"/>
      <c r="P202" s="50"/>
      <c r="Q202" s="50">
        <f t="shared" si="128"/>
        <v>0</v>
      </c>
      <c r="R202" s="50">
        <f t="shared" si="113"/>
        <v>0</v>
      </c>
      <c r="S202" s="50">
        <f t="shared" si="129"/>
        <v>0</v>
      </c>
      <c r="T202" s="50">
        <f t="shared" si="114"/>
        <v>0</v>
      </c>
      <c r="U202" s="50">
        <f t="shared" si="130"/>
        <v>0</v>
      </c>
      <c r="V202" s="50">
        <f t="shared" si="115"/>
        <v>0</v>
      </c>
      <c r="W202" s="50"/>
      <c r="X202" s="50">
        <f t="shared" si="131"/>
        <v>0</v>
      </c>
      <c r="Y202" s="50">
        <f t="shared" si="132"/>
        <v>0</v>
      </c>
      <c r="Z202" s="50">
        <f t="shared" si="133"/>
        <v>0</v>
      </c>
      <c r="AA202" s="50"/>
      <c r="AB202" s="50"/>
      <c r="AC202" s="50"/>
      <c r="AD202" s="50"/>
      <c r="AE202" s="50"/>
      <c r="AF202" s="50">
        <f t="shared" si="116"/>
        <v>0</v>
      </c>
      <c r="AG202" s="50"/>
      <c r="AH202" s="50">
        <f t="shared" si="117"/>
        <v>0</v>
      </c>
      <c r="AI202" s="50"/>
      <c r="AJ202" s="50">
        <f t="shared" si="118"/>
        <v>0</v>
      </c>
      <c r="AK202" s="50"/>
      <c r="AL202" s="50">
        <f t="shared" si="119"/>
        <v>0</v>
      </c>
      <c r="AM202" s="50"/>
      <c r="AN202" s="50">
        <f t="shared" si="120"/>
        <v>0</v>
      </c>
      <c r="AO202" s="50"/>
      <c r="AP202" s="50">
        <f t="shared" si="121"/>
        <v>0</v>
      </c>
      <c r="AQ202" s="50"/>
      <c r="AR202" s="50">
        <f t="shared" si="122"/>
        <v>0</v>
      </c>
      <c r="AS202" s="50"/>
      <c r="AT202" s="50">
        <f t="shared" si="123"/>
        <v>0</v>
      </c>
      <c r="AU202" s="260"/>
      <c r="AV202" s="260">
        <f t="shared" si="124"/>
        <v>0</v>
      </c>
    </row>
    <row r="203" spans="1:138" x14ac:dyDescent="0.2">
      <c r="A203" s="47" t="s">
        <v>356</v>
      </c>
      <c r="B203" s="48" t="s">
        <v>227</v>
      </c>
      <c r="C203" s="479">
        <v>2344.9375279819137</v>
      </c>
      <c r="D203" s="49">
        <f t="shared" si="107"/>
        <v>2344.94</v>
      </c>
      <c r="E203" s="49"/>
      <c r="F203" s="50">
        <f t="shared" si="108"/>
        <v>0</v>
      </c>
      <c r="G203" s="50">
        <f t="shared" si="125"/>
        <v>0</v>
      </c>
      <c r="H203" s="50">
        <f t="shared" si="109"/>
        <v>0</v>
      </c>
      <c r="I203" s="50">
        <f t="shared" si="126"/>
        <v>0</v>
      </c>
      <c r="J203" s="50">
        <f t="shared" si="110"/>
        <v>0</v>
      </c>
      <c r="K203" s="50"/>
      <c r="L203" s="50">
        <f t="shared" si="111"/>
        <v>0</v>
      </c>
      <c r="M203" s="50">
        <f t="shared" si="127"/>
        <v>0</v>
      </c>
      <c r="N203" s="50">
        <f t="shared" si="112"/>
        <v>0</v>
      </c>
      <c r="O203" s="50"/>
      <c r="P203" s="50"/>
      <c r="Q203" s="50">
        <f t="shared" si="128"/>
        <v>0</v>
      </c>
      <c r="R203" s="50">
        <f t="shared" si="113"/>
        <v>0</v>
      </c>
      <c r="S203" s="50">
        <f t="shared" si="129"/>
        <v>0</v>
      </c>
      <c r="T203" s="50">
        <f t="shared" si="114"/>
        <v>0</v>
      </c>
      <c r="U203" s="50">
        <f t="shared" si="130"/>
        <v>0</v>
      </c>
      <c r="V203" s="50">
        <f t="shared" si="115"/>
        <v>0</v>
      </c>
      <c r="W203" s="50"/>
      <c r="X203" s="50">
        <f t="shared" si="131"/>
        <v>0</v>
      </c>
      <c r="Y203" s="50">
        <f t="shared" si="132"/>
        <v>0</v>
      </c>
      <c r="Z203" s="50">
        <f t="shared" si="133"/>
        <v>0</v>
      </c>
      <c r="AA203" s="50"/>
      <c r="AB203" s="50"/>
      <c r="AC203" s="50"/>
      <c r="AD203" s="50"/>
      <c r="AE203" s="50"/>
      <c r="AF203" s="50">
        <f t="shared" si="116"/>
        <v>0</v>
      </c>
      <c r="AG203" s="50"/>
      <c r="AH203" s="50">
        <f t="shared" si="117"/>
        <v>0</v>
      </c>
      <c r="AI203" s="50"/>
      <c r="AJ203" s="50">
        <f t="shared" si="118"/>
        <v>0</v>
      </c>
      <c r="AK203" s="50"/>
      <c r="AL203" s="50">
        <f t="shared" si="119"/>
        <v>0</v>
      </c>
      <c r="AM203" s="50"/>
      <c r="AN203" s="50">
        <f t="shared" si="120"/>
        <v>0</v>
      </c>
      <c r="AO203" s="50"/>
      <c r="AP203" s="50">
        <f t="shared" si="121"/>
        <v>0</v>
      </c>
      <c r="AQ203" s="50"/>
      <c r="AR203" s="50">
        <f t="shared" si="122"/>
        <v>0</v>
      </c>
      <c r="AS203" s="50"/>
      <c r="AT203" s="50">
        <f t="shared" si="123"/>
        <v>0</v>
      </c>
      <c r="AU203" s="260"/>
      <c r="AV203" s="260">
        <f t="shared" si="124"/>
        <v>0</v>
      </c>
    </row>
    <row r="204" spans="1:138" x14ac:dyDescent="0.2">
      <c r="A204" s="47" t="s">
        <v>357</v>
      </c>
      <c r="B204" s="48" t="s">
        <v>227</v>
      </c>
      <c r="C204" s="479">
        <v>2875.6563310737133</v>
      </c>
      <c r="D204" s="49">
        <f t="shared" si="107"/>
        <v>2875.66</v>
      </c>
      <c r="E204" s="49"/>
      <c r="F204" s="50">
        <f t="shared" si="108"/>
        <v>0</v>
      </c>
      <c r="G204" s="50">
        <f t="shared" si="125"/>
        <v>0</v>
      </c>
      <c r="H204" s="50">
        <f t="shared" si="109"/>
        <v>0</v>
      </c>
      <c r="I204" s="50">
        <f t="shared" si="126"/>
        <v>0</v>
      </c>
      <c r="J204" s="50">
        <f t="shared" si="110"/>
        <v>0</v>
      </c>
      <c r="K204" s="50"/>
      <c r="L204" s="50">
        <f t="shared" si="111"/>
        <v>0</v>
      </c>
      <c r="M204" s="50">
        <f t="shared" si="127"/>
        <v>0</v>
      </c>
      <c r="N204" s="50">
        <f t="shared" si="112"/>
        <v>0</v>
      </c>
      <c r="O204" s="50"/>
      <c r="P204" s="50"/>
      <c r="Q204" s="50">
        <f t="shared" si="128"/>
        <v>0</v>
      </c>
      <c r="R204" s="50">
        <f t="shared" si="113"/>
        <v>0</v>
      </c>
      <c r="S204" s="50">
        <f t="shared" si="129"/>
        <v>0</v>
      </c>
      <c r="T204" s="50">
        <f t="shared" si="114"/>
        <v>0</v>
      </c>
      <c r="U204" s="50">
        <f t="shared" si="130"/>
        <v>0</v>
      </c>
      <c r="V204" s="50">
        <f t="shared" si="115"/>
        <v>0</v>
      </c>
      <c r="W204" s="50"/>
      <c r="X204" s="50">
        <f t="shared" si="131"/>
        <v>0</v>
      </c>
      <c r="Y204" s="50">
        <f t="shared" si="132"/>
        <v>0</v>
      </c>
      <c r="Z204" s="50">
        <f t="shared" si="133"/>
        <v>0</v>
      </c>
      <c r="AA204" s="50"/>
      <c r="AB204" s="50"/>
      <c r="AC204" s="50"/>
      <c r="AD204" s="50"/>
      <c r="AE204" s="50"/>
      <c r="AF204" s="50">
        <f t="shared" si="116"/>
        <v>0</v>
      </c>
      <c r="AG204" s="50"/>
      <c r="AH204" s="50">
        <f t="shared" si="117"/>
        <v>0</v>
      </c>
      <c r="AI204" s="50"/>
      <c r="AJ204" s="50">
        <f t="shared" si="118"/>
        <v>0</v>
      </c>
      <c r="AK204" s="50"/>
      <c r="AL204" s="50">
        <f t="shared" si="119"/>
        <v>0</v>
      </c>
      <c r="AM204" s="50"/>
      <c r="AN204" s="50">
        <f t="shared" si="120"/>
        <v>0</v>
      </c>
      <c r="AO204" s="50"/>
      <c r="AP204" s="50">
        <f t="shared" si="121"/>
        <v>0</v>
      </c>
      <c r="AQ204" s="50"/>
      <c r="AR204" s="50">
        <f t="shared" si="122"/>
        <v>0</v>
      </c>
      <c r="AS204" s="50"/>
      <c r="AT204" s="50">
        <f t="shared" si="123"/>
        <v>0</v>
      </c>
      <c r="AU204" s="260"/>
      <c r="AV204" s="260">
        <f t="shared" si="124"/>
        <v>0</v>
      </c>
    </row>
    <row r="205" spans="1:138" x14ac:dyDescent="0.2">
      <c r="A205" s="47" t="s">
        <v>358</v>
      </c>
      <c r="B205" s="48" t="s">
        <v>227</v>
      </c>
      <c r="C205" s="479">
        <v>3388.9642338037011</v>
      </c>
      <c r="D205" s="49">
        <f t="shared" si="107"/>
        <v>3388.96</v>
      </c>
      <c r="E205" s="49"/>
      <c r="F205" s="50">
        <f t="shared" si="108"/>
        <v>0</v>
      </c>
      <c r="G205" s="50">
        <f t="shared" si="125"/>
        <v>0</v>
      </c>
      <c r="H205" s="50">
        <f t="shared" si="109"/>
        <v>0</v>
      </c>
      <c r="I205" s="50">
        <f t="shared" si="126"/>
        <v>0</v>
      </c>
      <c r="J205" s="50">
        <f t="shared" si="110"/>
        <v>0</v>
      </c>
      <c r="K205" s="50"/>
      <c r="L205" s="50">
        <f t="shared" si="111"/>
        <v>0</v>
      </c>
      <c r="M205" s="50">
        <f t="shared" si="127"/>
        <v>0</v>
      </c>
      <c r="N205" s="50">
        <f t="shared" si="112"/>
        <v>0</v>
      </c>
      <c r="O205" s="50"/>
      <c r="P205" s="50"/>
      <c r="Q205" s="50">
        <f t="shared" si="128"/>
        <v>0</v>
      </c>
      <c r="R205" s="50">
        <f t="shared" si="113"/>
        <v>0</v>
      </c>
      <c r="S205" s="50">
        <f t="shared" si="129"/>
        <v>0</v>
      </c>
      <c r="T205" s="50">
        <f t="shared" si="114"/>
        <v>0</v>
      </c>
      <c r="U205" s="50">
        <f t="shared" si="130"/>
        <v>0</v>
      </c>
      <c r="V205" s="50">
        <f t="shared" si="115"/>
        <v>0</v>
      </c>
      <c r="W205" s="50"/>
      <c r="X205" s="50">
        <f t="shared" si="131"/>
        <v>0</v>
      </c>
      <c r="Y205" s="50">
        <f t="shared" si="132"/>
        <v>0</v>
      </c>
      <c r="Z205" s="50">
        <f t="shared" si="133"/>
        <v>0</v>
      </c>
      <c r="AA205" s="50"/>
      <c r="AB205" s="50"/>
      <c r="AC205" s="50"/>
      <c r="AD205" s="50"/>
      <c r="AE205" s="50"/>
      <c r="AF205" s="50">
        <f t="shared" si="116"/>
        <v>0</v>
      </c>
      <c r="AG205" s="50"/>
      <c r="AH205" s="50">
        <f t="shared" si="117"/>
        <v>0</v>
      </c>
      <c r="AI205" s="50"/>
      <c r="AJ205" s="50">
        <f t="shared" si="118"/>
        <v>0</v>
      </c>
      <c r="AK205" s="50"/>
      <c r="AL205" s="50">
        <f t="shared" si="119"/>
        <v>0</v>
      </c>
      <c r="AM205" s="50"/>
      <c r="AN205" s="50">
        <f t="shared" si="120"/>
        <v>0</v>
      </c>
      <c r="AO205" s="50"/>
      <c r="AP205" s="50">
        <f t="shared" si="121"/>
        <v>0</v>
      </c>
      <c r="AQ205" s="50"/>
      <c r="AR205" s="50">
        <f t="shared" si="122"/>
        <v>0</v>
      </c>
      <c r="AS205" s="50"/>
      <c r="AT205" s="50">
        <f t="shared" si="123"/>
        <v>0</v>
      </c>
      <c r="AU205" s="260"/>
      <c r="AV205" s="260">
        <f t="shared" si="124"/>
        <v>0</v>
      </c>
    </row>
    <row r="206" spans="1:138" s="50" customFormat="1" x14ac:dyDescent="0.2">
      <c r="A206" s="534" t="s">
        <v>1016</v>
      </c>
      <c r="B206" s="48" t="s">
        <v>227</v>
      </c>
      <c r="C206" s="50">
        <v>24.8</v>
      </c>
      <c r="D206" s="49">
        <f t="shared" si="107"/>
        <v>24.8</v>
      </c>
      <c r="E206" s="49"/>
      <c r="F206" s="50">
        <f t="shared" si="108"/>
        <v>0</v>
      </c>
      <c r="H206" s="50">
        <f t="shared" si="109"/>
        <v>0</v>
      </c>
      <c r="J206" s="50">
        <f t="shared" si="110"/>
        <v>0</v>
      </c>
      <c r="L206" s="50">
        <f t="shared" si="111"/>
        <v>0</v>
      </c>
      <c r="N206" s="50">
        <f t="shared" si="112"/>
        <v>0</v>
      </c>
      <c r="R206" s="50">
        <f t="shared" si="113"/>
        <v>0</v>
      </c>
      <c r="T206" s="50">
        <f t="shared" si="114"/>
        <v>0</v>
      </c>
      <c r="V206" s="50">
        <f t="shared" si="115"/>
        <v>0</v>
      </c>
      <c r="X206" s="50">
        <f t="shared" si="131"/>
        <v>0</v>
      </c>
      <c r="Z206" s="50">
        <f t="shared" si="133"/>
        <v>0</v>
      </c>
      <c r="AB206" s="50">
        <f t="shared" ref="AB206:AB213" si="134">+D206*AA206</f>
        <v>0</v>
      </c>
      <c r="AF206" s="50">
        <f t="shared" si="116"/>
        <v>0</v>
      </c>
      <c r="AH206" s="50">
        <f t="shared" si="117"/>
        <v>0</v>
      </c>
      <c r="AJ206" s="50">
        <f t="shared" si="118"/>
        <v>0</v>
      </c>
      <c r="AL206" s="50">
        <f t="shared" si="119"/>
        <v>0</v>
      </c>
      <c r="AN206" s="50">
        <f t="shared" si="120"/>
        <v>0</v>
      </c>
      <c r="AP206" s="50">
        <f t="shared" si="121"/>
        <v>0</v>
      </c>
      <c r="AR206" s="50">
        <f t="shared" si="122"/>
        <v>0</v>
      </c>
      <c r="AT206" s="50">
        <f t="shared" si="123"/>
        <v>0</v>
      </c>
      <c r="AU206" s="260">
        <v>1</v>
      </c>
      <c r="AV206" s="27">
        <f t="shared" si="124"/>
        <v>24.8</v>
      </c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  <c r="BM206" s="27"/>
      <c r="BN206" s="27"/>
      <c r="BO206" s="27"/>
      <c r="BP206" s="27"/>
      <c r="BQ206" s="27"/>
      <c r="BR206" s="27"/>
      <c r="BS206" s="27"/>
      <c r="BT206" s="27"/>
      <c r="BU206" s="27"/>
      <c r="BV206" s="27"/>
      <c r="BW206" s="27"/>
      <c r="BX206" s="27"/>
      <c r="BY206" s="27"/>
      <c r="BZ206" s="27"/>
      <c r="CA206" s="27"/>
      <c r="CB206" s="27"/>
      <c r="CC206" s="27"/>
      <c r="CD206" s="27"/>
      <c r="CE206" s="27"/>
      <c r="CF206" s="27"/>
      <c r="CG206" s="27"/>
      <c r="CH206" s="27"/>
      <c r="CI206" s="27"/>
      <c r="CJ206" s="27"/>
      <c r="CK206" s="27"/>
      <c r="CL206" s="27"/>
      <c r="CM206" s="27"/>
      <c r="CN206" s="27"/>
      <c r="CO206" s="27"/>
      <c r="CP206" s="27"/>
      <c r="CQ206" s="27"/>
      <c r="CR206" s="27"/>
      <c r="CS206" s="27"/>
      <c r="CT206" s="27"/>
      <c r="CU206" s="27"/>
      <c r="CV206" s="27"/>
      <c r="CW206" s="27"/>
      <c r="CX206" s="27"/>
      <c r="CY206" s="27"/>
      <c r="CZ206" s="27"/>
      <c r="DA206" s="27"/>
      <c r="DB206" s="27"/>
      <c r="DC206" s="27"/>
      <c r="DD206" s="27"/>
      <c r="DE206" s="27"/>
      <c r="DF206" s="27"/>
      <c r="DG206" s="27"/>
      <c r="DH206" s="27"/>
      <c r="DI206" s="27"/>
      <c r="DJ206" s="27"/>
      <c r="DK206" s="27"/>
      <c r="DL206" s="27"/>
      <c r="DM206" s="27"/>
      <c r="DN206" s="27"/>
      <c r="DO206" s="27"/>
      <c r="DP206" s="27"/>
      <c r="DQ206" s="27"/>
      <c r="DR206" s="27"/>
      <c r="DS206" s="27"/>
      <c r="DT206" s="27"/>
      <c r="DU206" s="27"/>
      <c r="DV206" s="27"/>
      <c r="DW206" s="27"/>
      <c r="DX206" s="27"/>
      <c r="DY206" s="27"/>
      <c r="DZ206" s="27"/>
      <c r="EA206" s="27"/>
      <c r="EB206" s="27"/>
      <c r="EC206" s="27"/>
      <c r="ED206" s="27"/>
      <c r="EE206" s="27"/>
      <c r="EF206" s="27"/>
      <c r="EG206" s="27"/>
      <c r="EH206" s="27"/>
    </row>
    <row r="207" spans="1:138" s="50" customFormat="1" x14ac:dyDescent="0.2">
      <c r="A207" s="534" t="s">
        <v>359</v>
      </c>
      <c r="B207" s="48" t="s">
        <v>227</v>
      </c>
      <c r="C207" s="151">
        <v>12.65</v>
      </c>
      <c r="D207" s="49">
        <f t="shared" si="107"/>
        <v>12.65</v>
      </c>
      <c r="E207" s="49"/>
      <c r="F207" s="50">
        <f t="shared" si="108"/>
        <v>0</v>
      </c>
      <c r="H207" s="50">
        <f t="shared" si="109"/>
        <v>0</v>
      </c>
      <c r="J207" s="50">
        <f t="shared" si="110"/>
        <v>0</v>
      </c>
      <c r="L207" s="50">
        <f t="shared" si="111"/>
        <v>0</v>
      </c>
      <c r="N207" s="50">
        <f t="shared" si="112"/>
        <v>0</v>
      </c>
      <c r="R207" s="50">
        <f t="shared" si="113"/>
        <v>0</v>
      </c>
      <c r="T207" s="50">
        <f t="shared" si="114"/>
        <v>0</v>
      </c>
      <c r="V207" s="50">
        <f t="shared" si="115"/>
        <v>0</v>
      </c>
      <c r="X207" s="50">
        <f t="shared" si="131"/>
        <v>0</v>
      </c>
      <c r="Z207" s="50">
        <f t="shared" si="133"/>
        <v>0</v>
      </c>
      <c r="AB207" s="50">
        <f t="shared" si="134"/>
        <v>0</v>
      </c>
      <c r="AF207" s="50">
        <f t="shared" si="116"/>
        <v>0</v>
      </c>
      <c r="AH207" s="50">
        <f t="shared" si="117"/>
        <v>0</v>
      </c>
      <c r="AJ207" s="50">
        <f t="shared" si="118"/>
        <v>0</v>
      </c>
      <c r="AL207" s="50">
        <f t="shared" si="119"/>
        <v>0</v>
      </c>
      <c r="AN207" s="50">
        <f t="shared" si="120"/>
        <v>0</v>
      </c>
      <c r="AP207" s="50">
        <f t="shared" si="121"/>
        <v>0</v>
      </c>
      <c r="AR207" s="50">
        <f t="shared" si="122"/>
        <v>0</v>
      </c>
      <c r="AT207" s="50">
        <f t="shared" si="123"/>
        <v>0</v>
      </c>
      <c r="AU207" s="260"/>
      <c r="AV207" s="27">
        <f t="shared" si="124"/>
        <v>0</v>
      </c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27"/>
      <c r="BK207" s="27"/>
      <c r="BL207" s="27"/>
      <c r="BM207" s="27"/>
      <c r="BN207" s="27"/>
      <c r="BO207" s="27"/>
      <c r="BP207" s="27"/>
      <c r="BQ207" s="27"/>
      <c r="BR207" s="27"/>
      <c r="BS207" s="27"/>
      <c r="BT207" s="27"/>
      <c r="BU207" s="27"/>
      <c r="BV207" s="27"/>
      <c r="BW207" s="27"/>
      <c r="BX207" s="27"/>
      <c r="BY207" s="27"/>
      <c r="BZ207" s="27"/>
      <c r="CA207" s="27"/>
      <c r="CB207" s="27"/>
      <c r="CC207" s="27"/>
      <c r="CD207" s="27"/>
      <c r="CE207" s="27"/>
      <c r="CF207" s="27"/>
      <c r="CG207" s="27"/>
      <c r="CH207" s="27"/>
      <c r="CI207" s="27"/>
      <c r="CJ207" s="27"/>
      <c r="CK207" s="27"/>
      <c r="CL207" s="27"/>
      <c r="CM207" s="27"/>
      <c r="CN207" s="27"/>
      <c r="CO207" s="27"/>
      <c r="CP207" s="27"/>
      <c r="CQ207" s="27"/>
      <c r="CR207" s="27"/>
      <c r="CS207" s="27"/>
      <c r="CT207" s="27"/>
      <c r="CU207" s="27"/>
      <c r="CV207" s="27"/>
      <c r="CW207" s="27"/>
      <c r="CX207" s="27"/>
      <c r="CY207" s="27"/>
      <c r="CZ207" s="27"/>
      <c r="DA207" s="27"/>
      <c r="DB207" s="27"/>
      <c r="DC207" s="27"/>
      <c r="DD207" s="27"/>
      <c r="DE207" s="27"/>
      <c r="DF207" s="27"/>
      <c r="DG207" s="27"/>
      <c r="DH207" s="27"/>
      <c r="DI207" s="27"/>
      <c r="DJ207" s="27"/>
      <c r="DK207" s="27"/>
      <c r="DL207" s="27"/>
      <c r="DM207" s="27"/>
      <c r="DN207" s="27"/>
      <c r="DO207" s="27"/>
      <c r="DP207" s="27"/>
      <c r="DQ207" s="27"/>
      <c r="DR207" s="27"/>
      <c r="DS207" s="27"/>
      <c r="DT207" s="27"/>
      <c r="DU207" s="27"/>
      <c r="DV207" s="27"/>
      <c r="DW207" s="27"/>
      <c r="DX207" s="27"/>
      <c r="DY207" s="27"/>
      <c r="DZ207" s="27"/>
      <c r="EA207" s="27"/>
      <c r="EB207" s="27"/>
      <c r="EC207" s="27"/>
      <c r="ED207" s="27"/>
      <c r="EE207" s="27"/>
      <c r="EF207" s="27"/>
      <c r="EG207" s="27"/>
      <c r="EH207" s="27"/>
    </row>
    <row r="208" spans="1:138" s="50" customFormat="1" x14ac:dyDescent="0.2">
      <c r="A208" s="534" t="s">
        <v>360</v>
      </c>
      <c r="B208" s="48" t="s">
        <v>227</v>
      </c>
      <c r="C208" s="50">
        <v>14.31</v>
      </c>
      <c r="D208" s="49">
        <f t="shared" si="107"/>
        <v>14.31</v>
      </c>
      <c r="E208" s="49"/>
      <c r="F208" s="50">
        <f t="shared" si="108"/>
        <v>0</v>
      </c>
      <c r="H208" s="50">
        <f t="shared" si="109"/>
        <v>0</v>
      </c>
      <c r="J208" s="50">
        <f t="shared" si="110"/>
        <v>0</v>
      </c>
      <c r="L208" s="50">
        <f t="shared" si="111"/>
        <v>0</v>
      </c>
      <c r="N208" s="50">
        <f t="shared" si="112"/>
        <v>0</v>
      </c>
      <c r="R208" s="50">
        <f t="shared" si="113"/>
        <v>0</v>
      </c>
      <c r="T208" s="50">
        <f t="shared" si="114"/>
        <v>0</v>
      </c>
      <c r="V208" s="50">
        <f t="shared" si="115"/>
        <v>0</v>
      </c>
      <c r="X208" s="50">
        <f t="shared" si="131"/>
        <v>0</v>
      </c>
      <c r="Z208" s="50">
        <f t="shared" si="133"/>
        <v>0</v>
      </c>
      <c r="AB208" s="50">
        <f t="shared" si="134"/>
        <v>0</v>
      </c>
      <c r="AF208" s="50">
        <f t="shared" si="116"/>
        <v>0</v>
      </c>
      <c r="AH208" s="50">
        <f t="shared" si="117"/>
        <v>0</v>
      </c>
      <c r="AJ208" s="50">
        <f t="shared" si="118"/>
        <v>0</v>
      </c>
      <c r="AL208" s="50">
        <f t="shared" si="119"/>
        <v>0</v>
      </c>
      <c r="AN208" s="50">
        <f t="shared" si="120"/>
        <v>0</v>
      </c>
      <c r="AP208" s="50">
        <f t="shared" si="121"/>
        <v>0</v>
      </c>
      <c r="AR208" s="50">
        <f t="shared" si="122"/>
        <v>0</v>
      </c>
      <c r="AT208" s="50">
        <f t="shared" si="123"/>
        <v>0</v>
      </c>
      <c r="AU208" s="260">
        <v>1</v>
      </c>
      <c r="AV208" s="27">
        <f t="shared" si="124"/>
        <v>14.31</v>
      </c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  <c r="BM208" s="27"/>
      <c r="BN208" s="27"/>
      <c r="BO208" s="27"/>
      <c r="BP208" s="27"/>
      <c r="BQ208" s="27"/>
      <c r="BR208" s="27"/>
      <c r="BS208" s="27"/>
      <c r="BT208" s="27"/>
      <c r="BU208" s="27"/>
      <c r="BV208" s="27"/>
      <c r="BW208" s="27"/>
      <c r="BX208" s="27"/>
      <c r="BY208" s="27"/>
      <c r="BZ208" s="27"/>
      <c r="CA208" s="27"/>
      <c r="CB208" s="27"/>
      <c r="CC208" s="27"/>
      <c r="CD208" s="27"/>
      <c r="CE208" s="27"/>
      <c r="CF208" s="27"/>
      <c r="CG208" s="27"/>
      <c r="CH208" s="27"/>
      <c r="CI208" s="27"/>
      <c r="CJ208" s="27"/>
      <c r="CK208" s="27"/>
      <c r="CL208" s="27"/>
      <c r="CM208" s="27"/>
      <c r="CN208" s="27"/>
      <c r="CO208" s="27"/>
      <c r="CP208" s="27"/>
      <c r="CQ208" s="27"/>
      <c r="CR208" s="27"/>
      <c r="CS208" s="27"/>
      <c r="CT208" s="27"/>
      <c r="CU208" s="27"/>
      <c r="CV208" s="27"/>
      <c r="CW208" s="27"/>
      <c r="CX208" s="27"/>
      <c r="CY208" s="27"/>
      <c r="CZ208" s="27"/>
      <c r="DA208" s="27"/>
      <c r="DB208" s="27"/>
      <c r="DC208" s="27"/>
      <c r="DD208" s="27"/>
      <c r="DE208" s="27"/>
      <c r="DF208" s="27"/>
      <c r="DG208" s="27"/>
      <c r="DH208" s="27"/>
      <c r="DI208" s="27"/>
      <c r="DJ208" s="27"/>
      <c r="DK208" s="27"/>
      <c r="DL208" s="27"/>
      <c r="DM208" s="27"/>
      <c r="DN208" s="27"/>
      <c r="DO208" s="27"/>
      <c r="DP208" s="27"/>
      <c r="DQ208" s="27"/>
      <c r="DR208" s="27"/>
      <c r="DS208" s="27"/>
      <c r="DT208" s="27"/>
      <c r="DU208" s="27"/>
      <c r="DV208" s="27"/>
      <c r="DW208" s="27"/>
      <c r="DX208" s="27"/>
      <c r="DY208" s="27"/>
      <c r="DZ208" s="27"/>
      <c r="EA208" s="27"/>
      <c r="EB208" s="27"/>
      <c r="EC208" s="27"/>
      <c r="ED208" s="27"/>
      <c r="EE208" s="27"/>
      <c r="EF208" s="27"/>
      <c r="EG208" s="27"/>
      <c r="EH208" s="27"/>
    </row>
    <row r="209" spans="1:138" s="50" customFormat="1" x14ac:dyDescent="0.2">
      <c r="A209" s="534" t="s">
        <v>361</v>
      </c>
      <c r="B209" s="48" t="s">
        <v>227</v>
      </c>
      <c r="C209" s="151">
        <v>23.93</v>
      </c>
      <c r="D209" s="49">
        <f t="shared" si="107"/>
        <v>23.93</v>
      </c>
      <c r="E209" s="49"/>
      <c r="F209" s="50">
        <f t="shared" si="108"/>
        <v>0</v>
      </c>
      <c r="H209" s="50">
        <f t="shared" si="109"/>
        <v>0</v>
      </c>
      <c r="J209" s="50">
        <f t="shared" si="110"/>
        <v>0</v>
      </c>
      <c r="L209" s="50">
        <f t="shared" si="111"/>
        <v>0</v>
      </c>
      <c r="N209" s="50">
        <f t="shared" si="112"/>
        <v>0</v>
      </c>
      <c r="R209" s="50">
        <f t="shared" si="113"/>
        <v>0</v>
      </c>
      <c r="T209" s="50">
        <f t="shared" si="114"/>
        <v>0</v>
      </c>
      <c r="V209" s="50">
        <f t="shared" si="115"/>
        <v>0</v>
      </c>
      <c r="X209" s="50">
        <f t="shared" si="131"/>
        <v>0</v>
      </c>
      <c r="Z209" s="50">
        <f t="shared" si="133"/>
        <v>0</v>
      </c>
      <c r="AB209" s="50">
        <f t="shared" si="134"/>
        <v>0</v>
      </c>
      <c r="AF209" s="50">
        <f t="shared" si="116"/>
        <v>0</v>
      </c>
      <c r="AH209" s="50">
        <f t="shared" si="117"/>
        <v>0</v>
      </c>
      <c r="AJ209" s="50">
        <f t="shared" si="118"/>
        <v>0</v>
      </c>
      <c r="AL209" s="50">
        <f t="shared" si="119"/>
        <v>0</v>
      </c>
      <c r="AN209" s="50">
        <f t="shared" si="120"/>
        <v>0</v>
      </c>
      <c r="AP209" s="50">
        <f t="shared" si="121"/>
        <v>0</v>
      </c>
      <c r="AR209" s="50">
        <f t="shared" si="122"/>
        <v>0</v>
      </c>
      <c r="AT209" s="50">
        <f t="shared" si="123"/>
        <v>0</v>
      </c>
      <c r="AU209" s="260"/>
      <c r="AV209" s="260">
        <f t="shared" si="124"/>
        <v>0</v>
      </c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  <c r="BM209" s="27"/>
      <c r="BN209" s="27"/>
      <c r="BO209" s="27"/>
      <c r="BP209" s="27"/>
      <c r="BQ209" s="27"/>
      <c r="BR209" s="27"/>
      <c r="BS209" s="27"/>
      <c r="BT209" s="27"/>
      <c r="BU209" s="27"/>
      <c r="BV209" s="27"/>
      <c r="BW209" s="27"/>
      <c r="BX209" s="27"/>
      <c r="BY209" s="27"/>
      <c r="BZ209" s="27"/>
      <c r="CA209" s="27"/>
      <c r="CB209" s="27"/>
      <c r="CC209" s="27"/>
      <c r="CD209" s="27"/>
      <c r="CE209" s="27"/>
      <c r="CF209" s="27"/>
      <c r="CG209" s="27"/>
      <c r="CH209" s="27"/>
      <c r="CI209" s="27"/>
      <c r="CJ209" s="27"/>
      <c r="CK209" s="27"/>
      <c r="CL209" s="27"/>
      <c r="CM209" s="27"/>
      <c r="CN209" s="27"/>
      <c r="CO209" s="27"/>
      <c r="CP209" s="27"/>
      <c r="CQ209" s="27"/>
      <c r="CR209" s="27"/>
      <c r="CS209" s="27"/>
      <c r="CT209" s="27"/>
      <c r="CU209" s="27"/>
      <c r="CV209" s="27"/>
      <c r="CW209" s="27"/>
      <c r="CX209" s="27"/>
      <c r="CY209" s="27"/>
      <c r="CZ209" s="27"/>
      <c r="DA209" s="27"/>
      <c r="DB209" s="27"/>
      <c r="DC209" s="27"/>
      <c r="DD209" s="27"/>
      <c r="DE209" s="27"/>
      <c r="DF209" s="27"/>
      <c r="DG209" s="27"/>
      <c r="DH209" s="27"/>
      <c r="DI209" s="27"/>
      <c r="DJ209" s="27"/>
      <c r="DK209" s="27"/>
      <c r="DL209" s="27"/>
      <c r="DM209" s="27"/>
      <c r="DN209" s="27"/>
      <c r="DO209" s="27"/>
      <c r="DP209" s="27"/>
      <c r="DQ209" s="27"/>
      <c r="DR209" s="27"/>
      <c r="DS209" s="27"/>
      <c r="DT209" s="27"/>
      <c r="DU209" s="27"/>
      <c r="DV209" s="27"/>
      <c r="DW209" s="27"/>
      <c r="DX209" s="27"/>
      <c r="DY209" s="27"/>
      <c r="DZ209" s="27"/>
      <c r="EA209" s="27"/>
      <c r="EB209" s="27"/>
      <c r="EC209" s="27"/>
      <c r="ED209" s="27"/>
      <c r="EE209" s="27"/>
      <c r="EF209" s="27"/>
      <c r="EG209" s="27"/>
      <c r="EH209" s="27"/>
    </row>
    <row r="210" spans="1:138" s="50" customFormat="1" x14ac:dyDescent="0.2">
      <c r="A210" s="534" t="s">
        <v>377</v>
      </c>
      <c r="B210" s="48" t="s">
        <v>378</v>
      </c>
      <c r="C210" s="50">
        <v>2.996</v>
      </c>
      <c r="D210" s="49">
        <f t="shared" si="107"/>
        <v>3</v>
      </c>
      <c r="E210" s="49"/>
      <c r="F210" s="50">
        <f t="shared" si="108"/>
        <v>0</v>
      </c>
      <c r="H210" s="50">
        <f t="shared" si="109"/>
        <v>0</v>
      </c>
      <c r="J210" s="50">
        <f t="shared" si="110"/>
        <v>0</v>
      </c>
      <c r="L210" s="50">
        <f t="shared" si="111"/>
        <v>0</v>
      </c>
      <c r="N210" s="50">
        <f t="shared" si="112"/>
        <v>0</v>
      </c>
      <c r="R210" s="50">
        <f t="shared" si="113"/>
        <v>0</v>
      </c>
      <c r="T210" s="50">
        <f t="shared" si="114"/>
        <v>0</v>
      </c>
      <c r="V210" s="50">
        <f t="shared" si="115"/>
        <v>0</v>
      </c>
      <c r="X210" s="50">
        <f t="shared" si="131"/>
        <v>0</v>
      </c>
      <c r="Z210" s="50">
        <f t="shared" si="133"/>
        <v>0</v>
      </c>
      <c r="AB210" s="50">
        <f t="shared" si="134"/>
        <v>0</v>
      </c>
      <c r="AF210" s="50">
        <f t="shared" si="116"/>
        <v>0</v>
      </c>
      <c r="AH210" s="50">
        <f t="shared" si="117"/>
        <v>0</v>
      </c>
      <c r="AJ210" s="50">
        <f t="shared" si="118"/>
        <v>0</v>
      </c>
      <c r="AL210" s="50">
        <f t="shared" si="119"/>
        <v>0</v>
      </c>
      <c r="AN210" s="50">
        <f t="shared" si="120"/>
        <v>0</v>
      </c>
      <c r="AP210" s="50">
        <f t="shared" si="121"/>
        <v>0</v>
      </c>
      <c r="AR210" s="50">
        <f t="shared" si="122"/>
        <v>0</v>
      </c>
      <c r="AT210" s="50">
        <f t="shared" si="123"/>
        <v>0</v>
      </c>
      <c r="AU210" s="260"/>
      <c r="AV210" s="260">
        <f t="shared" si="124"/>
        <v>0</v>
      </c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  <c r="BM210" s="27"/>
      <c r="BN210" s="27"/>
      <c r="BO210" s="27"/>
      <c r="BP210" s="27"/>
      <c r="BQ210" s="27"/>
      <c r="BR210" s="27"/>
      <c r="BS210" s="27"/>
      <c r="BT210" s="27"/>
      <c r="BU210" s="27"/>
      <c r="BV210" s="27"/>
      <c r="BW210" s="27"/>
      <c r="BX210" s="27"/>
      <c r="BY210" s="27"/>
      <c r="BZ210" s="27"/>
      <c r="CA210" s="27"/>
      <c r="CB210" s="27"/>
      <c r="CC210" s="27"/>
      <c r="CD210" s="27"/>
      <c r="CE210" s="27"/>
      <c r="CF210" s="27"/>
      <c r="CG210" s="27"/>
      <c r="CH210" s="27"/>
      <c r="CI210" s="27"/>
      <c r="CJ210" s="27"/>
      <c r="CK210" s="27"/>
      <c r="CL210" s="27"/>
      <c r="CM210" s="27"/>
      <c r="CN210" s="27"/>
      <c r="CO210" s="27"/>
      <c r="CP210" s="27"/>
      <c r="CQ210" s="27"/>
      <c r="CR210" s="27"/>
      <c r="CS210" s="27"/>
      <c r="CT210" s="27"/>
      <c r="CU210" s="27"/>
      <c r="CV210" s="27"/>
      <c r="CW210" s="27"/>
      <c r="CX210" s="27"/>
      <c r="CY210" s="27"/>
      <c r="CZ210" s="27"/>
      <c r="DA210" s="27"/>
      <c r="DB210" s="27"/>
      <c r="DC210" s="27"/>
      <c r="DD210" s="27"/>
      <c r="DE210" s="27"/>
      <c r="DF210" s="27"/>
      <c r="DG210" s="27"/>
      <c r="DH210" s="27"/>
      <c r="DI210" s="27"/>
      <c r="DJ210" s="27"/>
      <c r="DK210" s="27"/>
      <c r="DL210" s="27"/>
      <c r="DM210" s="27"/>
      <c r="DN210" s="27"/>
      <c r="DO210" s="27"/>
      <c r="DP210" s="27"/>
      <c r="DQ210" s="27"/>
      <c r="DR210" s="27"/>
      <c r="DS210" s="27"/>
      <c r="DT210" s="27"/>
      <c r="DU210" s="27"/>
      <c r="DV210" s="27"/>
      <c r="DW210" s="27"/>
      <c r="DX210" s="27"/>
      <c r="DY210" s="27"/>
      <c r="DZ210" s="27"/>
      <c r="EA210" s="27"/>
      <c r="EB210" s="27"/>
      <c r="EC210" s="27"/>
      <c r="ED210" s="27"/>
      <c r="EE210" s="27"/>
      <c r="EF210" s="27"/>
      <c r="EG210" s="27"/>
      <c r="EH210" s="27"/>
    </row>
    <row r="211" spans="1:138" s="167" customFormat="1" x14ac:dyDescent="0.2">
      <c r="A211" s="468" t="s">
        <v>991</v>
      </c>
      <c r="B211" s="164" t="s">
        <v>227</v>
      </c>
      <c r="C211" s="473">
        <v>8.1456955375557563</v>
      </c>
      <c r="D211" s="49">
        <f t="shared" si="107"/>
        <v>8.15</v>
      </c>
      <c r="E211" s="166"/>
      <c r="F211" s="50">
        <f t="shared" si="108"/>
        <v>0</v>
      </c>
      <c r="G211" s="165"/>
      <c r="H211" s="50">
        <f t="shared" si="109"/>
        <v>0</v>
      </c>
      <c r="I211" s="165"/>
      <c r="J211" s="50">
        <f t="shared" si="110"/>
        <v>0</v>
      </c>
      <c r="K211" s="165"/>
      <c r="L211" s="50">
        <f t="shared" si="111"/>
        <v>0</v>
      </c>
      <c r="M211" s="165"/>
      <c r="N211" s="50">
        <f t="shared" si="112"/>
        <v>0</v>
      </c>
      <c r="O211" s="50"/>
      <c r="P211" s="50">
        <f>D211*O211</f>
        <v>0</v>
      </c>
      <c r="Q211" s="165"/>
      <c r="R211" s="50">
        <f t="shared" si="113"/>
        <v>0</v>
      </c>
      <c r="S211" s="165"/>
      <c r="T211" s="50">
        <f t="shared" si="114"/>
        <v>0</v>
      </c>
      <c r="U211" s="165"/>
      <c r="V211" s="50">
        <f t="shared" si="115"/>
        <v>0</v>
      </c>
      <c r="W211" s="165"/>
      <c r="X211" s="50">
        <f t="shared" si="131"/>
        <v>0</v>
      </c>
      <c r="Y211" s="165"/>
      <c r="Z211" s="50">
        <f t="shared" si="133"/>
        <v>0</v>
      </c>
      <c r="AA211" s="165"/>
      <c r="AB211" s="50">
        <f t="shared" si="134"/>
        <v>0</v>
      </c>
      <c r="AC211" s="165"/>
      <c r="AD211" s="165"/>
      <c r="AE211" s="165"/>
      <c r="AF211" s="50">
        <f t="shared" si="116"/>
        <v>0</v>
      </c>
      <c r="AG211" s="165"/>
      <c r="AH211" s="50">
        <f t="shared" si="117"/>
        <v>0</v>
      </c>
      <c r="AI211" s="165"/>
      <c r="AJ211" s="50">
        <f t="shared" si="118"/>
        <v>0</v>
      </c>
      <c r="AK211" s="165"/>
      <c r="AL211" s="165">
        <f t="shared" si="119"/>
        <v>0</v>
      </c>
      <c r="AM211" s="165"/>
      <c r="AN211" s="165">
        <f t="shared" si="120"/>
        <v>0</v>
      </c>
      <c r="AO211" s="165"/>
      <c r="AP211" s="50">
        <f t="shared" si="121"/>
        <v>0</v>
      </c>
      <c r="AQ211" s="165"/>
      <c r="AR211" s="50">
        <f t="shared" si="122"/>
        <v>0</v>
      </c>
      <c r="AS211" s="165"/>
      <c r="AT211" s="50">
        <f t="shared" si="123"/>
        <v>0</v>
      </c>
      <c r="AU211" s="260"/>
      <c r="AV211" s="27">
        <f t="shared" si="124"/>
        <v>0</v>
      </c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  <c r="BO211" s="27"/>
      <c r="BP211" s="27"/>
      <c r="BQ211" s="27"/>
      <c r="BR211" s="27"/>
      <c r="BS211" s="27"/>
      <c r="BT211" s="27"/>
      <c r="BU211" s="27"/>
      <c r="BV211" s="27"/>
      <c r="BW211" s="27"/>
      <c r="BX211" s="27"/>
      <c r="BY211" s="27"/>
      <c r="BZ211" s="27"/>
      <c r="CA211" s="27"/>
      <c r="CB211" s="27"/>
      <c r="CC211" s="27"/>
      <c r="CD211" s="27"/>
      <c r="CE211" s="27"/>
      <c r="CF211" s="27"/>
      <c r="CG211" s="27"/>
      <c r="CH211" s="27"/>
      <c r="CI211" s="27"/>
      <c r="CJ211" s="27"/>
      <c r="CK211" s="27"/>
      <c r="CL211" s="27"/>
      <c r="CM211" s="27"/>
      <c r="CN211" s="27"/>
      <c r="CO211" s="27"/>
      <c r="CP211" s="27"/>
      <c r="CQ211" s="27"/>
      <c r="CR211" s="27"/>
      <c r="CS211" s="27"/>
      <c r="CT211" s="27"/>
      <c r="CU211" s="27"/>
      <c r="CV211" s="27"/>
      <c r="CW211" s="27"/>
      <c r="CX211" s="27"/>
      <c r="CY211" s="27"/>
      <c r="CZ211" s="27"/>
      <c r="DA211" s="27"/>
      <c r="DB211" s="27"/>
      <c r="DC211" s="27"/>
      <c r="DD211" s="27"/>
      <c r="DE211" s="27"/>
      <c r="DF211" s="27"/>
      <c r="DG211" s="27"/>
      <c r="DH211" s="27"/>
      <c r="DI211" s="27"/>
      <c r="DJ211" s="27"/>
      <c r="DK211" s="27"/>
      <c r="DL211" s="27"/>
      <c r="DM211" s="27"/>
      <c r="DN211" s="27"/>
      <c r="DO211" s="27"/>
      <c r="DP211" s="27"/>
      <c r="DQ211" s="27"/>
      <c r="DR211" s="27"/>
      <c r="DS211" s="27"/>
      <c r="DT211" s="27"/>
      <c r="DU211" s="27"/>
      <c r="DV211" s="27"/>
      <c r="DW211" s="27"/>
      <c r="DX211" s="27"/>
      <c r="DY211" s="27"/>
      <c r="DZ211" s="27"/>
      <c r="EA211" s="27"/>
      <c r="EB211" s="27"/>
      <c r="EC211" s="27"/>
      <c r="ED211" s="27"/>
      <c r="EE211" s="27"/>
      <c r="EF211" s="27"/>
      <c r="EG211" s="27"/>
      <c r="EH211" s="27"/>
    </row>
    <row r="212" spans="1:138" s="167" customFormat="1" x14ac:dyDescent="0.2">
      <c r="A212" s="537" t="s">
        <v>427</v>
      </c>
      <c r="B212" s="164" t="s">
        <v>426</v>
      </c>
      <c r="C212" s="165">
        <v>80</v>
      </c>
      <c r="D212" s="49">
        <f t="shared" si="107"/>
        <v>80</v>
      </c>
      <c r="E212" s="166"/>
      <c r="F212" s="50">
        <f t="shared" si="108"/>
        <v>0</v>
      </c>
      <c r="G212" s="165"/>
      <c r="H212" s="50">
        <f t="shared" si="109"/>
        <v>0</v>
      </c>
      <c r="I212" s="165"/>
      <c r="J212" s="50">
        <f t="shared" si="110"/>
        <v>0</v>
      </c>
      <c r="K212" s="165"/>
      <c r="L212" s="50">
        <f t="shared" si="111"/>
        <v>0</v>
      </c>
      <c r="M212" s="165"/>
      <c r="N212" s="50">
        <f t="shared" si="112"/>
        <v>0</v>
      </c>
      <c r="O212" s="165"/>
      <c r="P212" s="165"/>
      <c r="Q212" s="165"/>
      <c r="R212" s="50">
        <f t="shared" si="113"/>
        <v>0</v>
      </c>
      <c r="S212" s="165"/>
      <c r="T212" s="50">
        <f t="shared" si="114"/>
        <v>0</v>
      </c>
      <c r="U212" s="165"/>
      <c r="V212" s="50">
        <f t="shared" si="115"/>
        <v>0</v>
      </c>
      <c r="W212" s="165"/>
      <c r="X212" s="50">
        <f t="shared" si="131"/>
        <v>0</v>
      </c>
      <c r="Y212" s="165"/>
      <c r="Z212" s="50">
        <f t="shared" si="133"/>
        <v>0</v>
      </c>
      <c r="AA212" s="165"/>
      <c r="AB212" s="50">
        <f t="shared" si="134"/>
        <v>0</v>
      </c>
      <c r="AC212" s="165"/>
      <c r="AD212" s="165"/>
      <c r="AE212" s="165"/>
      <c r="AF212" s="50">
        <f t="shared" si="116"/>
        <v>0</v>
      </c>
      <c r="AG212" s="165"/>
      <c r="AH212" s="50">
        <f t="shared" si="117"/>
        <v>0</v>
      </c>
      <c r="AI212" s="165"/>
      <c r="AJ212" s="50">
        <f t="shared" si="118"/>
        <v>0</v>
      </c>
      <c r="AK212" s="165"/>
      <c r="AL212" s="165">
        <f t="shared" si="119"/>
        <v>0</v>
      </c>
      <c r="AM212" s="165"/>
      <c r="AN212" s="165">
        <f t="shared" si="120"/>
        <v>0</v>
      </c>
      <c r="AO212" s="165"/>
      <c r="AP212" s="50">
        <f t="shared" si="121"/>
        <v>0</v>
      </c>
      <c r="AQ212" s="165"/>
      <c r="AR212" s="50">
        <f t="shared" si="122"/>
        <v>0</v>
      </c>
      <c r="AS212" s="165"/>
      <c r="AT212" s="50">
        <f t="shared" si="123"/>
        <v>0</v>
      </c>
      <c r="AU212" s="260"/>
      <c r="AV212" s="27">
        <f t="shared" si="124"/>
        <v>0</v>
      </c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  <c r="BM212" s="27"/>
      <c r="BN212" s="27"/>
      <c r="BO212" s="27"/>
      <c r="BP212" s="27"/>
      <c r="BQ212" s="27"/>
      <c r="BR212" s="27"/>
      <c r="BS212" s="27"/>
      <c r="BT212" s="27"/>
      <c r="BU212" s="27"/>
      <c r="BV212" s="27"/>
      <c r="BW212" s="27"/>
      <c r="BX212" s="27"/>
      <c r="BY212" s="27"/>
      <c r="BZ212" s="27"/>
      <c r="CA212" s="27"/>
      <c r="CB212" s="27"/>
      <c r="CC212" s="27"/>
      <c r="CD212" s="27"/>
      <c r="CE212" s="27"/>
      <c r="CF212" s="27"/>
      <c r="CG212" s="27"/>
      <c r="CH212" s="27"/>
      <c r="CI212" s="27"/>
      <c r="CJ212" s="27"/>
      <c r="CK212" s="27"/>
      <c r="CL212" s="27"/>
      <c r="CM212" s="27"/>
      <c r="CN212" s="27"/>
      <c r="CO212" s="27"/>
      <c r="CP212" s="27"/>
      <c r="CQ212" s="27"/>
      <c r="CR212" s="27"/>
      <c r="CS212" s="27"/>
      <c r="CT212" s="27"/>
      <c r="CU212" s="27"/>
      <c r="CV212" s="27"/>
      <c r="CW212" s="27"/>
      <c r="CX212" s="27"/>
      <c r="CY212" s="27"/>
      <c r="CZ212" s="27"/>
      <c r="DA212" s="27"/>
      <c r="DB212" s="27"/>
      <c r="DC212" s="27"/>
      <c r="DD212" s="27"/>
      <c r="DE212" s="27"/>
      <c r="DF212" s="27"/>
      <c r="DG212" s="27"/>
      <c r="DH212" s="27"/>
      <c r="DI212" s="27"/>
      <c r="DJ212" s="27"/>
      <c r="DK212" s="27"/>
      <c r="DL212" s="27"/>
      <c r="DM212" s="27"/>
      <c r="DN212" s="27"/>
      <c r="DO212" s="27"/>
      <c r="DP212" s="27"/>
      <c r="DQ212" s="27"/>
      <c r="DR212" s="27"/>
      <c r="DS212" s="27"/>
      <c r="DT212" s="27"/>
      <c r="DU212" s="27"/>
      <c r="DV212" s="27"/>
      <c r="DW212" s="27"/>
      <c r="DX212" s="27"/>
      <c r="DY212" s="27"/>
      <c r="DZ212" s="27"/>
      <c r="EA212" s="27"/>
      <c r="EB212" s="27"/>
      <c r="EC212" s="27"/>
      <c r="ED212" s="27"/>
      <c r="EE212" s="27"/>
      <c r="EF212" s="27"/>
      <c r="EG212" s="27"/>
      <c r="EH212" s="27"/>
    </row>
    <row r="213" spans="1:138" s="167" customFormat="1" x14ac:dyDescent="0.2">
      <c r="A213" s="213" t="s">
        <v>722</v>
      </c>
      <c r="B213" s="164" t="s">
        <v>227</v>
      </c>
      <c r="C213" s="165">
        <v>13.11</v>
      </c>
      <c r="D213" s="166">
        <f t="shared" si="107"/>
        <v>13.11</v>
      </c>
      <c r="E213" s="166"/>
      <c r="F213" s="50">
        <f t="shared" si="108"/>
        <v>0</v>
      </c>
      <c r="G213" s="165"/>
      <c r="H213" s="50">
        <f t="shared" si="109"/>
        <v>0</v>
      </c>
      <c r="I213" s="165"/>
      <c r="J213" s="50">
        <f t="shared" si="110"/>
        <v>0</v>
      </c>
      <c r="K213" s="165"/>
      <c r="L213" s="50">
        <f t="shared" si="111"/>
        <v>0</v>
      </c>
      <c r="M213" s="165"/>
      <c r="N213" s="50">
        <f t="shared" si="112"/>
        <v>0</v>
      </c>
      <c r="O213" s="165"/>
      <c r="P213" s="165"/>
      <c r="Q213" s="165"/>
      <c r="R213" s="50">
        <f t="shared" si="113"/>
        <v>0</v>
      </c>
      <c r="S213" s="165"/>
      <c r="T213" s="50">
        <f t="shared" si="114"/>
        <v>0</v>
      </c>
      <c r="U213" s="165"/>
      <c r="V213" s="50">
        <f t="shared" si="115"/>
        <v>0</v>
      </c>
      <c r="W213" s="165"/>
      <c r="X213" s="50">
        <f t="shared" si="131"/>
        <v>0</v>
      </c>
      <c r="Y213" s="165"/>
      <c r="Z213" s="50">
        <f t="shared" si="133"/>
        <v>0</v>
      </c>
      <c r="AA213" s="165">
        <v>1</v>
      </c>
      <c r="AB213" s="479">
        <f t="shared" si="134"/>
        <v>13.11</v>
      </c>
      <c r="AC213" s="165"/>
      <c r="AD213" s="165"/>
      <c r="AE213" s="165"/>
      <c r="AF213" s="50">
        <f t="shared" si="116"/>
        <v>0</v>
      </c>
      <c r="AG213" s="165"/>
      <c r="AH213" s="50">
        <f t="shared" si="117"/>
        <v>0</v>
      </c>
      <c r="AI213" s="165"/>
      <c r="AJ213" s="50">
        <f t="shared" si="118"/>
        <v>0</v>
      </c>
      <c r="AK213" s="165"/>
      <c r="AL213" s="165">
        <f t="shared" si="119"/>
        <v>0</v>
      </c>
      <c r="AM213" s="165"/>
      <c r="AN213" s="165">
        <f t="shared" si="120"/>
        <v>0</v>
      </c>
      <c r="AO213" s="165"/>
      <c r="AP213" s="50">
        <f t="shared" si="121"/>
        <v>0</v>
      </c>
      <c r="AQ213" s="165"/>
      <c r="AR213" s="50">
        <f t="shared" si="122"/>
        <v>0</v>
      </c>
      <c r="AS213" s="165"/>
      <c r="AT213" s="50">
        <f t="shared" si="123"/>
        <v>0</v>
      </c>
      <c r="AU213" s="260"/>
      <c r="AV213" s="27">
        <f t="shared" si="124"/>
        <v>0</v>
      </c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  <c r="BO213" s="27"/>
      <c r="BP213" s="27"/>
      <c r="BQ213" s="27"/>
      <c r="BR213" s="27"/>
      <c r="BS213" s="27"/>
      <c r="BT213" s="27"/>
      <c r="BU213" s="27"/>
      <c r="BV213" s="27"/>
      <c r="BW213" s="27"/>
      <c r="BX213" s="27"/>
      <c r="BY213" s="27"/>
      <c r="BZ213" s="27"/>
      <c r="CA213" s="27"/>
      <c r="CB213" s="27"/>
      <c r="CC213" s="27"/>
      <c r="CD213" s="27"/>
      <c r="CE213" s="27"/>
      <c r="CF213" s="27"/>
      <c r="CG213" s="27"/>
      <c r="CH213" s="27"/>
      <c r="CI213" s="27"/>
      <c r="CJ213" s="27"/>
      <c r="CK213" s="27"/>
      <c r="CL213" s="27"/>
      <c r="CM213" s="27"/>
      <c r="CN213" s="27"/>
      <c r="CO213" s="27"/>
      <c r="CP213" s="27"/>
      <c r="CQ213" s="27"/>
      <c r="CR213" s="27"/>
      <c r="CS213" s="27"/>
      <c r="CT213" s="27"/>
      <c r="CU213" s="27"/>
      <c r="CV213" s="27"/>
      <c r="CW213" s="27"/>
      <c r="CX213" s="27"/>
      <c r="CY213" s="27"/>
      <c r="CZ213" s="27"/>
      <c r="DA213" s="27"/>
      <c r="DB213" s="27"/>
      <c r="DC213" s="27"/>
      <c r="DD213" s="27"/>
      <c r="DE213" s="27"/>
      <c r="DF213" s="27"/>
      <c r="DG213" s="27"/>
      <c r="DH213" s="27"/>
      <c r="DI213" s="27"/>
      <c r="DJ213" s="27"/>
      <c r="DK213" s="27"/>
      <c r="DL213" s="27"/>
      <c r="DM213" s="27"/>
      <c r="DN213" s="27"/>
      <c r="DO213" s="27"/>
      <c r="DP213" s="27"/>
      <c r="DQ213" s="27"/>
      <c r="DR213" s="27"/>
      <c r="DS213" s="27"/>
      <c r="DT213" s="27"/>
      <c r="DU213" s="27"/>
      <c r="DV213" s="27"/>
      <c r="DW213" s="27"/>
      <c r="DX213" s="27"/>
      <c r="DY213" s="27"/>
      <c r="DZ213" s="27"/>
      <c r="EA213" s="27"/>
      <c r="EB213" s="27"/>
      <c r="EC213" s="27"/>
      <c r="ED213" s="27"/>
      <c r="EE213" s="27"/>
      <c r="EF213" s="27"/>
      <c r="EG213" s="27"/>
      <c r="EH213" s="27"/>
    </row>
    <row r="214" spans="1:138" s="167" customFormat="1" x14ac:dyDescent="0.2">
      <c r="A214" s="213" t="s">
        <v>723</v>
      </c>
      <c r="B214" s="164" t="s">
        <v>227</v>
      </c>
      <c r="C214" s="165">
        <v>7.35</v>
      </c>
      <c r="D214" s="166">
        <f t="shared" si="107"/>
        <v>7.35</v>
      </c>
      <c r="E214" s="166"/>
      <c r="F214" s="50">
        <f t="shared" si="108"/>
        <v>0</v>
      </c>
      <c r="G214" s="165"/>
      <c r="H214" s="50">
        <f t="shared" si="109"/>
        <v>0</v>
      </c>
      <c r="I214" s="165"/>
      <c r="J214" s="50">
        <f t="shared" si="110"/>
        <v>0</v>
      </c>
      <c r="K214" s="165"/>
      <c r="L214" s="50">
        <f t="shared" si="111"/>
        <v>0</v>
      </c>
      <c r="M214" s="165"/>
      <c r="N214" s="50">
        <f t="shared" si="112"/>
        <v>0</v>
      </c>
      <c r="O214" s="165"/>
      <c r="P214" s="165"/>
      <c r="Q214" s="165"/>
      <c r="R214" s="50">
        <f t="shared" si="113"/>
        <v>0</v>
      </c>
      <c r="S214" s="165"/>
      <c r="T214" s="50">
        <f t="shared" si="114"/>
        <v>0</v>
      </c>
      <c r="U214" s="165"/>
      <c r="V214" s="50">
        <f t="shared" si="115"/>
        <v>0</v>
      </c>
      <c r="W214" s="165"/>
      <c r="X214" s="50">
        <f t="shared" si="131"/>
        <v>0</v>
      </c>
      <c r="Y214" s="165"/>
      <c r="Z214" s="50">
        <f t="shared" si="133"/>
        <v>0</v>
      </c>
      <c r="AA214" s="165"/>
      <c r="AB214" s="50"/>
      <c r="AC214" s="165"/>
      <c r="AD214" s="165"/>
      <c r="AE214" s="165"/>
      <c r="AF214" s="50">
        <f t="shared" si="116"/>
        <v>0</v>
      </c>
      <c r="AG214" s="165"/>
      <c r="AH214" s="50">
        <f t="shared" si="117"/>
        <v>0</v>
      </c>
      <c r="AI214" s="165"/>
      <c r="AJ214" s="50">
        <f t="shared" si="118"/>
        <v>0</v>
      </c>
      <c r="AK214" s="165"/>
      <c r="AL214" s="165">
        <f t="shared" si="119"/>
        <v>0</v>
      </c>
      <c r="AM214" s="165"/>
      <c r="AN214" s="165">
        <f t="shared" si="120"/>
        <v>0</v>
      </c>
      <c r="AO214" s="165"/>
      <c r="AP214" s="50">
        <f t="shared" si="121"/>
        <v>0</v>
      </c>
      <c r="AQ214" s="165"/>
      <c r="AR214" s="50">
        <f t="shared" si="122"/>
        <v>0</v>
      </c>
      <c r="AS214" s="165"/>
      <c r="AT214" s="50">
        <f t="shared" si="123"/>
        <v>0</v>
      </c>
      <c r="AU214" s="260"/>
      <c r="AV214" s="260">
        <f t="shared" si="124"/>
        <v>0</v>
      </c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  <c r="BO214" s="27"/>
      <c r="BP214" s="27"/>
      <c r="BQ214" s="27"/>
      <c r="BR214" s="27"/>
      <c r="BS214" s="27"/>
      <c r="BT214" s="27"/>
      <c r="BU214" s="27"/>
      <c r="BV214" s="27"/>
      <c r="BW214" s="27"/>
      <c r="BX214" s="27"/>
      <c r="BY214" s="27"/>
      <c r="BZ214" s="27"/>
      <c r="CA214" s="27"/>
      <c r="CB214" s="27"/>
      <c r="CC214" s="27"/>
      <c r="CD214" s="27"/>
      <c r="CE214" s="27"/>
      <c r="CF214" s="27"/>
      <c r="CG214" s="27"/>
      <c r="CH214" s="27"/>
      <c r="CI214" s="27"/>
      <c r="CJ214" s="27"/>
      <c r="CK214" s="27"/>
      <c r="CL214" s="27"/>
      <c r="CM214" s="27"/>
      <c r="CN214" s="27"/>
      <c r="CO214" s="27"/>
      <c r="CP214" s="27"/>
      <c r="CQ214" s="27"/>
      <c r="CR214" s="27"/>
      <c r="CS214" s="27"/>
      <c r="CT214" s="27"/>
      <c r="CU214" s="27"/>
      <c r="CV214" s="27"/>
      <c r="CW214" s="27"/>
      <c r="CX214" s="27"/>
      <c r="CY214" s="27"/>
      <c r="CZ214" s="27"/>
      <c r="DA214" s="27"/>
      <c r="DB214" s="27"/>
      <c r="DC214" s="27"/>
      <c r="DD214" s="27"/>
      <c r="DE214" s="27"/>
      <c r="DF214" s="27"/>
      <c r="DG214" s="27"/>
      <c r="DH214" s="27"/>
      <c r="DI214" s="27"/>
      <c r="DJ214" s="27"/>
      <c r="DK214" s="27"/>
      <c r="DL214" s="27"/>
      <c r="DM214" s="27"/>
      <c r="DN214" s="27"/>
      <c r="DO214" s="27"/>
      <c r="DP214" s="27"/>
      <c r="DQ214" s="27"/>
      <c r="DR214" s="27"/>
      <c r="DS214" s="27"/>
      <c r="DT214" s="27"/>
      <c r="DU214" s="27"/>
      <c r="DV214" s="27"/>
      <c r="DW214" s="27"/>
      <c r="DX214" s="27"/>
      <c r="DY214" s="27"/>
      <c r="DZ214" s="27"/>
      <c r="EA214" s="27"/>
      <c r="EB214" s="27"/>
      <c r="EC214" s="27"/>
      <c r="ED214" s="27"/>
      <c r="EE214" s="27"/>
      <c r="EF214" s="27"/>
      <c r="EG214" s="27"/>
      <c r="EH214" s="27"/>
    </row>
    <row r="215" spans="1:138" s="167" customFormat="1" x14ac:dyDescent="0.2">
      <c r="A215" s="469" t="s">
        <v>1028</v>
      </c>
      <c r="B215" s="164" t="s">
        <v>227</v>
      </c>
      <c r="C215" s="165">
        <v>23</v>
      </c>
      <c r="D215" s="166">
        <f t="shared" si="107"/>
        <v>23</v>
      </c>
      <c r="E215" s="166"/>
      <c r="F215" s="50">
        <f t="shared" si="108"/>
        <v>0</v>
      </c>
      <c r="G215" s="165"/>
      <c r="H215" s="50">
        <f t="shared" si="109"/>
        <v>0</v>
      </c>
      <c r="I215" s="165"/>
      <c r="J215" s="50">
        <f t="shared" si="110"/>
        <v>0</v>
      </c>
      <c r="K215" s="165"/>
      <c r="L215" s="50">
        <f t="shared" si="111"/>
        <v>0</v>
      </c>
      <c r="M215" s="165"/>
      <c r="N215" s="50">
        <f t="shared" si="112"/>
        <v>0</v>
      </c>
      <c r="O215" s="165"/>
      <c r="P215" s="165"/>
      <c r="Q215" s="165"/>
      <c r="R215" s="50">
        <f t="shared" si="113"/>
        <v>0</v>
      </c>
      <c r="S215" s="165"/>
      <c r="T215" s="50">
        <f t="shared" si="114"/>
        <v>0</v>
      </c>
      <c r="U215" s="165"/>
      <c r="V215" s="50">
        <f t="shared" si="115"/>
        <v>0</v>
      </c>
      <c r="W215" s="165"/>
      <c r="X215" s="50">
        <f t="shared" si="131"/>
        <v>0</v>
      </c>
      <c r="Y215" s="165"/>
      <c r="Z215" s="50">
        <f t="shared" si="133"/>
        <v>0</v>
      </c>
      <c r="AA215" s="165"/>
      <c r="AB215" s="50"/>
      <c r="AC215" s="165"/>
      <c r="AD215" s="165"/>
      <c r="AE215" s="165"/>
      <c r="AF215" s="50">
        <f t="shared" si="116"/>
        <v>0</v>
      </c>
      <c r="AG215" s="165"/>
      <c r="AH215" s="50">
        <f t="shared" si="117"/>
        <v>0</v>
      </c>
      <c r="AI215" s="165"/>
      <c r="AJ215" s="50">
        <f t="shared" si="118"/>
        <v>0</v>
      </c>
      <c r="AK215" s="165"/>
      <c r="AL215" s="165">
        <f t="shared" si="119"/>
        <v>0</v>
      </c>
      <c r="AM215" s="165"/>
      <c r="AN215" s="165">
        <f t="shared" si="120"/>
        <v>0</v>
      </c>
      <c r="AO215" s="165"/>
      <c r="AP215" s="50">
        <f t="shared" si="121"/>
        <v>0</v>
      </c>
      <c r="AQ215" s="165"/>
      <c r="AR215" s="50">
        <f t="shared" si="122"/>
        <v>0</v>
      </c>
      <c r="AS215" s="165"/>
      <c r="AT215" s="50">
        <f t="shared" si="123"/>
        <v>0</v>
      </c>
      <c r="AU215" s="260">
        <v>1</v>
      </c>
      <c r="AV215" s="260">
        <f t="shared" si="124"/>
        <v>23</v>
      </c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  <c r="BO215" s="27"/>
      <c r="BP215" s="27"/>
      <c r="BQ215" s="27"/>
      <c r="BR215" s="27"/>
      <c r="BS215" s="27"/>
      <c r="BT215" s="27"/>
      <c r="BU215" s="27"/>
      <c r="BV215" s="27"/>
      <c r="BW215" s="27"/>
      <c r="BX215" s="27"/>
      <c r="BY215" s="27"/>
      <c r="BZ215" s="27"/>
      <c r="CA215" s="27"/>
      <c r="CB215" s="27"/>
      <c r="CC215" s="27"/>
      <c r="CD215" s="27"/>
      <c r="CE215" s="27"/>
      <c r="CF215" s="27"/>
      <c r="CG215" s="27"/>
      <c r="CH215" s="27"/>
      <c r="CI215" s="27"/>
      <c r="CJ215" s="27"/>
      <c r="CK215" s="27"/>
      <c r="CL215" s="27"/>
      <c r="CM215" s="27"/>
      <c r="CN215" s="27"/>
      <c r="CO215" s="27"/>
      <c r="CP215" s="27"/>
      <c r="CQ215" s="27"/>
      <c r="CR215" s="27"/>
      <c r="CS215" s="27"/>
      <c r="CT215" s="27"/>
      <c r="CU215" s="27"/>
      <c r="CV215" s="27"/>
      <c r="CW215" s="27"/>
      <c r="CX215" s="27"/>
      <c r="CY215" s="27"/>
      <c r="CZ215" s="27"/>
      <c r="DA215" s="27"/>
      <c r="DB215" s="27"/>
      <c r="DC215" s="27"/>
      <c r="DD215" s="27"/>
      <c r="DE215" s="27"/>
      <c r="DF215" s="27"/>
      <c r="DG215" s="27"/>
      <c r="DH215" s="27"/>
      <c r="DI215" s="27"/>
      <c r="DJ215" s="27"/>
      <c r="DK215" s="27"/>
      <c r="DL215" s="27"/>
      <c r="DM215" s="27"/>
      <c r="DN215" s="27"/>
      <c r="DO215" s="27"/>
      <c r="DP215" s="27"/>
      <c r="DQ215" s="27"/>
      <c r="DR215" s="27"/>
      <c r="DS215" s="27"/>
      <c r="DT215" s="27"/>
      <c r="DU215" s="27"/>
      <c r="DV215" s="27"/>
      <c r="DW215" s="27"/>
      <c r="DX215" s="27"/>
      <c r="DY215" s="27"/>
      <c r="DZ215" s="27"/>
      <c r="EA215" s="27"/>
      <c r="EB215" s="27"/>
      <c r="EC215" s="27"/>
      <c r="ED215" s="27"/>
      <c r="EE215" s="27"/>
      <c r="EF215" s="27"/>
      <c r="EG215" s="27"/>
      <c r="EH215" s="27"/>
    </row>
    <row r="216" spans="1:138" s="167" customFormat="1" x14ac:dyDescent="0.2">
      <c r="A216" s="469" t="s">
        <v>1019</v>
      </c>
      <c r="B216" s="164" t="s">
        <v>227</v>
      </c>
      <c r="C216" s="165">
        <v>20</v>
      </c>
      <c r="D216" s="166">
        <f t="shared" si="107"/>
        <v>20</v>
      </c>
      <c r="E216" s="166"/>
      <c r="F216" s="50">
        <f t="shared" si="108"/>
        <v>0</v>
      </c>
      <c r="G216" s="165"/>
      <c r="H216" s="50">
        <f t="shared" si="109"/>
        <v>0</v>
      </c>
      <c r="I216" s="165"/>
      <c r="J216" s="50">
        <f t="shared" si="110"/>
        <v>0</v>
      </c>
      <c r="K216" s="165"/>
      <c r="L216" s="50">
        <f t="shared" si="111"/>
        <v>0</v>
      </c>
      <c r="M216" s="165"/>
      <c r="N216" s="50">
        <f t="shared" si="112"/>
        <v>0</v>
      </c>
      <c r="O216" s="165"/>
      <c r="P216" s="165"/>
      <c r="Q216" s="165"/>
      <c r="R216" s="50">
        <f t="shared" si="113"/>
        <v>0</v>
      </c>
      <c r="S216" s="165"/>
      <c r="T216" s="50">
        <f t="shared" si="114"/>
        <v>0</v>
      </c>
      <c r="U216" s="165"/>
      <c r="V216" s="50">
        <f t="shared" si="115"/>
        <v>0</v>
      </c>
      <c r="W216" s="165"/>
      <c r="X216" s="50">
        <f t="shared" si="131"/>
        <v>0</v>
      </c>
      <c r="Y216" s="165"/>
      <c r="Z216" s="50">
        <f t="shared" si="133"/>
        <v>0</v>
      </c>
      <c r="AA216" s="165"/>
      <c r="AB216" s="50"/>
      <c r="AC216" s="165"/>
      <c r="AD216" s="165"/>
      <c r="AE216" s="165"/>
      <c r="AF216" s="50">
        <f t="shared" si="116"/>
        <v>0</v>
      </c>
      <c r="AG216" s="165"/>
      <c r="AH216" s="50">
        <f t="shared" si="117"/>
        <v>0</v>
      </c>
      <c r="AI216" s="165"/>
      <c r="AJ216" s="50">
        <f t="shared" si="118"/>
        <v>0</v>
      </c>
      <c r="AK216" s="165"/>
      <c r="AL216" s="165">
        <f t="shared" si="119"/>
        <v>0</v>
      </c>
      <c r="AM216" s="165"/>
      <c r="AN216" s="165">
        <f t="shared" si="120"/>
        <v>0</v>
      </c>
      <c r="AO216" s="165"/>
      <c r="AP216" s="50">
        <f t="shared" si="121"/>
        <v>0</v>
      </c>
      <c r="AQ216" s="165"/>
      <c r="AR216" s="50">
        <f t="shared" si="122"/>
        <v>0</v>
      </c>
      <c r="AS216" s="165"/>
      <c r="AT216" s="50">
        <f t="shared" si="123"/>
        <v>0</v>
      </c>
      <c r="AU216" s="260">
        <v>1</v>
      </c>
      <c r="AV216" s="27">
        <f t="shared" si="124"/>
        <v>20</v>
      </c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  <c r="BO216" s="27"/>
      <c r="BP216" s="27"/>
      <c r="BQ216" s="27"/>
      <c r="BR216" s="27"/>
      <c r="BS216" s="27"/>
      <c r="BT216" s="27"/>
      <c r="BU216" s="27"/>
      <c r="BV216" s="27"/>
      <c r="BW216" s="27"/>
      <c r="BX216" s="27"/>
      <c r="BY216" s="27"/>
      <c r="BZ216" s="27"/>
      <c r="CA216" s="27"/>
      <c r="CB216" s="27"/>
      <c r="CC216" s="27"/>
      <c r="CD216" s="27"/>
      <c r="CE216" s="27"/>
      <c r="CF216" s="27"/>
      <c r="CG216" s="27"/>
      <c r="CH216" s="27"/>
      <c r="CI216" s="27"/>
      <c r="CJ216" s="27"/>
      <c r="CK216" s="27"/>
      <c r="CL216" s="27"/>
      <c r="CM216" s="27"/>
      <c r="CN216" s="27"/>
      <c r="CO216" s="27"/>
      <c r="CP216" s="27"/>
      <c r="CQ216" s="27"/>
      <c r="CR216" s="27"/>
      <c r="CS216" s="27"/>
      <c r="CT216" s="27"/>
      <c r="CU216" s="27"/>
      <c r="CV216" s="27"/>
      <c r="CW216" s="27"/>
      <c r="CX216" s="27"/>
      <c r="CY216" s="27"/>
      <c r="CZ216" s="27"/>
      <c r="DA216" s="27"/>
      <c r="DB216" s="27"/>
      <c r="DC216" s="27"/>
      <c r="DD216" s="27"/>
      <c r="DE216" s="27"/>
      <c r="DF216" s="27"/>
      <c r="DG216" s="27"/>
      <c r="DH216" s="27"/>
      <c r="DI216" s="27"/>
      <c r="DJ216" s="27"/>
      <c r="DK216" s="27"/>
      <c r="DL216" s="27"/>
      <c r="DM216" s="27"/>
      <c r="DN216" s="27"/>
      <c r="DO216" s="27"/>
      <c r="DP216" s="27"/>
      <c r="DQ216" s="27"/>
      <c r="DR216" s="27"/>
      <c r="DS216" s="27"/>
      <c r="DT216" s="27"/>
      <c r="DU216" s="27"/>
      <c r="DV216" s="27"/>
      <c r="DW216" s="27"/>
      <c r="DX216" s="27"/>
      <c r="DY216" s="27"/>
      <c r="DZ216" s="27"/>
      <c r="EA216" s="27"/>
      <c r="EB216" s="27"/>
      <c r="EC216" s="27"/>
      <c r="ED216" s="27"/>
      <c r="EE216" s="27"/>
      <c r="EF216" s="27"/>
      <c r="EG216" s="27"/>
      <c r="EH216" s="27"/>
    </row>
    <row r="217" spans="1:138" s="167" customFormat="1" x14ac:dyDescent="0.2">
      <c r="A217" s="453" t="s">
        <v>238</v>
      </c>
      <c r="B217" s="164" t="s">
        <v>227</v>
      </c>
      <c r="C217" s="165">
        <v>8.34</v>
      </c>
      <c r="D217" s="166">
        <f t="shared" si="107"/>
        <v>8.34</v>
      </c>
      <c r="E217" s="166"/>
      <c r="F217" s="50"/>
      <c r="G217" s="165"/>
      <c r="H217" s="50"/>
      <c r="I217" s="165"/>
      <c r="J217" s="50"/>
      <c r="K217" s="165"/>
      <c r="L217" s="50"/>
      <c r="M217" s="165"/>
      <c r="N217" s="50"/>
      <c r="O217" s="165"/>
      <c r="P217" s="165"/>
      <c r="Q217" s="165"/>
      <c r="R217" s="50"/>
      <c r="S217" s="165"/>
      <c r="T217" s="50"/>
      <c r="U217" s="165"/>
      <c r="V217" s="50"/>
      <c r="W217" s="165"/>
      <c r="X217" s="50"/>
      <c r="Y217" s="165"/>
      <c r="Z217" s="50"/>
      <c r="AA217" s="165"/>
      <c r="AB217" s="50"/>
      <c r="AC217" s="165"/>
      <c r="AD217" s="165"/>
      <c r="AE217" s="165"/>
      <c r="AF217" s="50"/>
      <c r="AG217" s="165"/>
      <c r="AH217" s="50"/>
      <c r="AI217" s="165"/>
      <c r="AJ217" s="50"/>
      <c r="AK217" s="165"/>
      <c r="AL217" s="165"/>
      <c r="AM217" s="165"/>
      <c r="AN217" s="165"/>
      <c r="AO217" s="165"/>
      <c r="AP217" s="50"/>
      <c r="AQ217" s="165"/>
      <c r="AR217" s="50"/>
      <c r="AS217" s="165"/>
      <c r="AT217" s="50"/>
      <c r="AU217" s="260"/>
      <c r="AV217" s="260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  <c r="BR217" s="27"/>
      <c r="BS217" s="27"/>
      <c r="BT217" s="27"/>
      <c r="BU217" s="27"/>
      <c r="BV217" s="27"/>
      <c r="BW217" s="27"/>
      <c r="BX217" s="27"/>
      <c r="BY217" s="27"/>
      <c r="BZ217" s="27"/>
      <c r="CA217" s="27"/>
      <c r="CB217" s="27"/>
      <c r="CC217" s="27"/>
      <c r="CD217" s="27"/>
      <c r="CE217" s="27"/>
      <c r="CF217" s="27"/>
      <c r="CG217" s="27"/>
      <c r="CH217" s="27"/>
      <c r="CI217" s="27"/>
      <c r="CJ217" s="27"/>
      <c r="CK217" s="27"/>
      <c r="CL217" s="27"/>
      <c r="CM217" s="27"/>
      <c r="CN217" s="27"/>
      <c r="CO217" s="27"/>
      <c r="CP217" s="27"/>
      <c r="CQ217" s="27"/>
      <c r="CR217" s="27"/>
      <c r="CS217" s="27"/>
      <c r="CT217" s="27"/>
      <c r="CU217" s="27"/>
      <c r="CV217" s="27"/>
      <c r="CW217" s="27"/>
      <c r="CX217" s="27"/>
      <c r="CY217" s="27"/>
      <c r="CZ217" s="27"/>
      <c r="DA217" s="27"/>
      <c r="DB217" s="27"/>
      <c r="DC217" s="27"/>
      <c r="DD217" s="27"/>
      <c r="DE217" s="27"/>
      <c r="DF217" s="27"/>
      <c r="DG217" s="27"/>
      <c r="DH217" s="27"/>
      <c r="DI217" s="27"/>
      <c r="DJ217" s="27"/>
      <c r="DK217" s="27"/>
      <c r="DL217" s="27"/>
      <c r="DM217" s="27"/>
      <c r="DN217" s="27"/>
      <c r="DO217" s="27"/>
      <c r="DP217" s="27"/>
      <c r="DQ217" s="27"/>
      <c r="DR217" s="27"/>
      <c r="DS217" s="27"/>
      <c r="DT217" s="27"/>
      <c r="DU217" s="27"/>
      <c r="DV217" s="27"/>
      <c r="DW217" s="27"/>
      <c r="DX217" s="27"/>
      <c r="DY217" s="27"/>
      <c r="DZ217" s="27"/>
      <c r="EA217" s="27"/>
      <c r="EB217" s="27"/>
      <c r="EC217" s="27"/>
      <c r="ED217" s="27"/>
      <c r="EE217" s="27"/>
      <c r="EF217" s="27"/>
      <c r="EG217" s="27"/>
      <c r="EH217" s="27"/>
    </row>
    <row r="218" spans="1:138" s="167" customFormat="1" x14ac:dyDescent="0.2">
      <c r="A218" s="470" t="s">
        <v>1005</v>
      </c>
      <c r="B218" s="164" t="s">
        <v>227</v>
      </c>
      <c r="C218" s="165">
        <v>8.67</v>
      </c>
      <c r="D218" s="165">
        <f t="shared" si="107"/>
        <v>8.67</v>
      </c>
      <c r="E218" s="166"/>
      <c r="F218" s="50">
        <f t="shared" si="108"/>
        <v>0</v>
      </c>
      <c r="G218" s="165">
        <v>1</v>
      </c>
      <c r="H218" s="479">
        <f t="shared" si="109"/>
        <v>8.67</v>
      </c>
      <c r="I218" s="165">
        <v>1</v>
      </c>
      <c r="J218" s="50">
        <f t="shared" si="110"/>
        <v>8.67</v>
      </c>
      <c r="K218" s="165">
        <v>1</v>
      </c>
      <c r="L218" s="50">
        <f t="shared" si="111"/>
        <v>8.67</v>
      </c>
      <c r="M218" s="165">
        <v>1</v>
      </c>
      <c r="N218" s="50">
        <f t="shared" si="112"/>
        <v>8.67</v>
      </c>
      <c r="O218" s="165"/>
      <c r="P218" s="165"/>
      <c r="Q218" s="165"/>
      <c r="R218" s="50">
        <f t="shared" si="113"/>
        <v>0</v>
      </c>
      <c r="S218" s="165"/>
      <c r="T218" s="50">
        <f t="shared" si="114"/>
        <v>0</v>
      </c>
      <c r="U218" s="165"/>
      <c r="V218" s="50">
        <f t="shared" si="115"/>
        <v>0</v>
      </c>
      <c r="W218" s="165"/>
      <c r="X218" s="50">
        <f>+D218*W218</f>
        <v>0</v>
      </c>
      <c r="Y218" s="165"/>
      <c r="Z218" s="50">
        <f>+D218*Y218</f>
        <v>0</v>
      </c>
      <c r="AA218" s="165"/>
      <c r="AB218" s="50">
        <f>+D218*AA218</f>
        <v>0</v>
      </c>
      <c r="AC218" s="165"/>
      <c r="AD218" s="165"/>
      <c r="AE218" s="165"/>
      <c r="AF218" s="50">
        <f>+D218*AE218</f>
        <v>0</v>
      </c>
      <c r="AG218" s="165"/>
      <c r="AH218" s="50">
        <f>+D218*AG218</f>
        <v>0</v>
      </c>
      <c r="AI218" s="165"/>
      <c r="AJ218" s="50">
        <f>+D218*AI218</f>
        <v>0</v>
      </c>
      <c r="AK218" s="165"/>
      <c r="AL218" s="165">
        <f>D218*AK218</f>
        <v>0</v>
      </c>
      <c r="AM218" s="165"/>
      <c r="AN218" s="165">
        <f>D218*AM218</f>
        <v>0</v>
      </c>
      <c r="AO218" s="165"/>
      <c r="AP218" s="50">
        <f>+D218*AO218</f>
        <v>0</v>
      </c>
      <c r="AQ218" s="165"/>
      <c r="AR218" s="50">
        <f>+AQ218*D218</f>
        <v>0</v>
      </c>
      <c r="AS218" s="165"/>
      <c r="AT218" s="50">
        <f>+D218*AS218</f>
        <v>0</v>
      </c>
      <c r="AU218" s="260"/>
      <c r="AV218" s="260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  <c r="BO218" s="27"/>
      <c r="BP218" s="27"/>
      <c r="BQ218" s="27"/>
      <c r="BR218" s="27"/>
      <c r="BS218" s="27"/>
      <c r="BT218" s="27"/>
      <c r="BU218" s="27"/>
      <c r="BV218" s="27"/>
      <c r="BW218" s="27"/>
      <c r="BX218" s="27"/>
      <c r="BY218" s="27"/>
      <c r="BZ218" s="27"/>
      <c r="CA218" s="27"/>
      <c r="CB218" s="27"/>
      <c r="CC218" s="27"/>
      <c r="CD218" s="27"/>
      <c r="CE218" s="27"/>
      <c r="CF218" s="27"/>
      <c r="CG218" s="27"/>
      <c r="CH218" s="27"/>
      <c r="CI218" s="27"/>
      <c r="CJ218" s="27"/>
      <c r="CK218" s="27"/>
      <c r="CL218" s="27"/>
      <c r="CM218" s="27"/>
      <c r="CN218" s="27"/>
      <c r="CO218" s="27"/>
      <c r="CP218" s="27"/>
      <c r="CQ218" s="27"/>
      <c r="CR218" s="27"/>
      <c r="CS218" s="27"/>
      <c r="CT218" s="27"/>
      <c r="CU218" s="27"/>
      <c r="CV218" s="27"/>
      <c r="CW218" s="27"/>
      <c r="CX218" s="27"/>
      <c r="CY218" s="27"/>
      <c r="CZ218" s="27"/>
      <c r="DA218" s="27"/>
      <c r="DB218" s="27"/>
      <c r="DC218" s="27"/>
      <c r="DD218" s="27"/>
      <c r="DE218" s="27"/>
      <c r="DF218" s="27"/>
      <c r="DG218" s="27"/>
      <c r="DH218" s="27"/>
      <c r="DI218" s="27"/>
      <c r="DJ218" s="27"/>
      <c r="DK218" s="27"/>
      <c r="DL218" s="27"/>
      <c r="DM218" s="27"/>
      <c r="DN218" s="27"/>
      <c r="DO218" s="27"/>
      <c r="DP218" s="27"/>
      <c r="DQ218" s="27"/>
      <c r="DR218" s="27"/>
      <c r="DS218" s="27"/>
      <c r="DT218" s="27"/>
      <c r="DU218" s="27"/>
      <c r="DV218" s="27"/>
      <c r="DW218" s="27"/>
      <c r="DX218" s="27"/>
      <c r="DY218" s="27"/>
      <c r="DZ218" s="27"/>
      <c r="EA218" s="27"/>
      <c r="EB218" s="27"/>
      <c r="EC218" s="27"/>
      <c r="ED218" s="27"/>
      <c r="EE218" s="27"/>
      <c r="EF218" s="27"/>
      <c r="EG218" s="27"/>
      <c r="EH218" s="27"/>
    </row>
    <row r="219" spans="1:138" ht="13.5" thickBot="1" x14ac:dyDescent="0.25">
      <c r="A219" s="51"/>
      <c r="B219" s="52"/>
      <c r="C219" s="52"/>
      <c r="D219" s="53"/>
      <c r="E219" s="53"/>
      <c r="F219" s="54">
        <f>+D219*E219</f>
        <v>0</v>
      </c>
      <c r="G219" s="54"/>
      <c r="H219" s="54">
        <f>+D219*G219</f>
        <v>0</v>
      </c>
      <c r="I219" s="54"/>
      <c r="J219" s="54">
        <f>+D219*I219</f>
        <v>0</v>
      </c>
      <c r="K219" s="54"/>
      <c r="L219" s="54">
        <f>+D219*K219</f>
        <v>0</v>
      </c>
      <c r="M219" s="54"/>
      <c r="N219" s="54">
        <f>+D219*M219</f>
        <v>0</v>
      </c>
      <c r="O219" s="54"/>
      <c r="P219" s="54"/>
      <c r="Q219" s="54"/>
      <c r="R219" s="50">
        <f t="shared" si="113"/>
        <v>0</v>
      </c>
      <c r="S219" s="54"/>
      <c r="T219" s="54">
        <f>+D219*S219</f>
        <v>0</v>
      </c>
      <c r="U219" s="54"/>
      <c r="V219" s="54">
        <f>+D219*U219</f>
        <v>0</v>
      </c>
      <c r="W219" s="54"/>
      <c r="X219" s="54">
        <f>+D219*W219</f>
        <v>0</v>
      </c>
      <c r="Y219" s="54"/>
      <c r="Z219" s="54">
        <f>+D219*Y219</f>
        <v>0</v>
      </c>
      <c r="AA219" s="54"/>
      <c r="AB219" s="54">
        <f>+D219*AA219</f>
        <v>0</v>
      </c>
      <c r="AC219" s="54"/>
      <c r="AD219" s="54"/>
      <c r="AE219" s="54"/>
      <c r="AF219" s="54">
        <f>+D219*AE219</f>
        <v>0</v>
      </c>
      <c r="AG219" s="54"/>
      <c r="AH219" s="54">
        <f>+D219*AG219</f>
        <v>0</v>
      </c>
      <c r="AI219" s="54"/>
      <c r="AJ219" s="54">
        <f>+D219*AI219</f>
        <v>0</v>
      </c>
      <c r="AK219" s="54"/>
      <c r="AL219" s="54">
        <f>D219*AK219</f>
        <v>0</v>
      </c>
      <c r="AM219" s="54"/>
      <c r="AN219" s="54"/>
      <c r="AO219" s="54"/>
      <c r="AP219" s="54">
        <f>+D219*AO219</f>
        <v>0</v>
      </c>
      <c r="AQ219" s="54"/>
      <c r="AR219" s="54"/>
      <c r="AS219" s="54"/>
      <c r="AT219" s="54">
        <f>+D219*AS219</f>
        <v>0</v>
      </c>
      <c r="AU219" s="260"/>
      <c r="AV219" s="260"/>
    </row>
    <row r="220" spans="1:138" ht="13.5" thickBot="1" x14ac:dyDescent="0.25">
      <c r="E220" s="28"/>
      <c r="F220" s="55">
        <f>SUBTOTAL(9,F8:F219)</f>
        <v>42.07</v>
      </c>
      <c r="G220" s="28"/>
      <c r="H220" s="55">
        <f>SUBTOTAL(9,H8:H219)</f>
        <v>125.91</v>
      </c>
      <c r="I220" s="28"/>
      <c r="J220" s="55">
        <f>SUBTOTAL(9,J8:J219)</f>
        <v>39.160000000000004</v>
      </c>
      <c r="K220" s="28"/>
      <c r="L220" s="55">
        <f>SUBTOTAL(9,L8:L219)</f>
        <v>55.19</v>
      </c>
      <c r="M220" s="28"/>
      <c r="N220" s="55">
        <f>SUBTOTAL(9,N8:N219)</f>
        <v>54.13</v>
      </c>
      <c r="O220" s="28"/>
      <c r="P220" s="55">
        <f>SUBTOTAL(9,P8:P219)</f>
        <v>90.87</v>
      </c>
      <c r="Q220" s="28"/>
      <c r="R220" s="55">
        <f>SUBTOTAL(9,R8:R219)</f>
        <v>83.87</v>
      </c>
      <c r="S220" s="28"/>
      <c r="T220" s="55">
        <f>SUBTOTAL(9,T8:T219)</f>
        <v>62.080000000000005</v>
      </c>
      <c r="U220" s="28"/>
      <c r="V220" s="55">
        <f>SUBTOTAL(9,V8:V219)</f>
        <v>39.74</v>
      </c>
      <c r="W220" s="28"/>
      <c r="X220" s="55">
        <f>SUBTOTAL(9,X8:X219)</f>
        <v>90.4</v>
      </c>
      <c r="Y220" s="28"/>
      <c r="Z220" s="55">
        <f>SUBTOTAL(9,Z8:Z219)</f>
        <v>68.06</v>
      </c>
      <c r="AA220" s="28"/>
      <c r="AB220" s="55">
        <f>SUBTOTAL(9,AB8:AB219)</f>
        <v>211.01999999999998</v>
      </c>
      <c r="AC220" s="167"/>
      <c r="AD220" s="55">
        <f>SUBTOTAL(9,AD8:AD219)</f>
        <v>26.96</v>
      </c>
      <c r="AE220" s="28"/>
      <c r="AF220" s="55">
        <f>SUBTOTAL(9,AF8:AF219)</f>
        <v>229.66</v>
      </c>
      <c r="AG220" s="28"/>
      <c r="AH220" s="55">
        <f>SUBTOTAL(9,AH8:AH219)</f>
        <v>11.38</v>
      </c>
      <c r="AI220" s="28"/>
      <c r="AJ220" s="55">
        <f>SUBTOTAL(9,AJ8:AJ219)</f>
        <v>27.779999999999998</v>
      </c>
      <c r="AK220" s="28"/>
      <c r="AL220" s="55">
        <f>SUBTOTAL(9,AL8:AL219)</f>
        <v>11.38</v>
      </c>
      <c r="AM220" s="28"/>
      <c r="AN220" s="55">
        <f>SUBTOTAL(9,AN8:AN219)</f>
        <v>54.61999999999999</v>
      </c>
      <c r="AO220" s="28"/>
      <c r="AP220" s="55">
        <f>SUBTOTAL(9,AP8:AP219)</f>
        <v>9.9</v>
      </c>
      <c r="AQ220" s="28"/>
      <c r="AR220" s="55">
        <f>SUBTOTAL(9,AR8:AR219)</f>
        <v>20.91</v>
      </c>
      <c r="AS220" s="28"/>
      <c r="AT220" s="55">
        <f>SUBTOTAL(9,AT8:AT219)</f>
        <v>105.75</v>
      </c>
      <c r="AU220" s="28"/>
      <c r="AV220" s="55">
        <f>SUBTOTAL(9,AV8:AV219)</f>
        <v>109.56</v>
      </c>
      <c r="AW220" s="28"/>
      <c r="AX220" s="55">
        <f>SUBTOTAL(9,AX8:AX219)</f>
        <v>1166.8900000000001</v>
      </c>
      <c r="AY220" s="28"/>
      <c r="AZ220" s="55">
        <f>SUBTOTAL(9,AZ8:AZ219)</f>
        <v>1382.39</v>
      </c>
      <c r="BA220" s="28"/>
      <c r="BB220" s="55">
        <f>SUBTOTAL(9,BB8:BB219)</f>
        <v>1562.77</v>
      </c>
      <c r="BC220" s="28"/>
      <c r="BD220" s="55">
        <f>SUBTOTAL(9,BD8:BD219)</f>
        <v>2236.81</v>
      </c>
      <c r="BE220" s="28"/>
      <c r="BF220" s="55">
        <f>SUBTOTAL(9,BF8:BF219)</f>
        <v>2557.5300000000002</v>
      </c>
      <c r="BG220" s="28"/>
      <c r="BH220" s="55">
        <f t="shared" ref="BH220" si="135">SUBTOTAL(9,BH8:BH219)</f>
        <v>2882.46</v>
      </c>
    </row>
  </sheetData>
  <sheetProtection selectLockedCells="1" selectUnlockedCells="1"/>
  <autoFilter ref="A7:EH219"/>
  <customSheetViews>
    <customSheetView guid="{78BD55B1-68EB-420C-90D4-21A42E09A787}" scale="90" showPageBreaks="1" printArea="1" showAutoFilter="1" hiddenRows="1" hiddenColumns="1" state="hidden" view="pageBreakPreview" topLeftCell="A4">
      <pane xSplit="4" ySplit="4" topLeftCell="AG8" activePane="bottomRight" state="frozen"/>
      <selection pane="bottomRight" activeCell="B109" sqref="B109"/>
      <colBreaks count="1" manualBreakCount="1">
        <brk id="179" max="242" man="1"/>
      </colBreaks>
      <pageMargins left="0.7" right="0.7" top="0.75" bottom="0.75" header="0.51180555555555551" footer="0.51180555555555551"/>
      <pageSetup paperSize="9" firstPageNumber="0" orientation="portrait" horizontalDpi="300" verticalDpi="300" r:id="rId1"/>
      <headerFooter alignWithMargins="0"/>
      <autoFilter ref="A7:JF251">
        <filterColumn colId="120" showButton="0"/>
        <filterColumn colId="122" showButton="0"/>
        <filterColumn colId="124" showButton="0"/>
        <filterColumn colId="126" showButton="0"/>
      </autoFilter>
    </customSheetView>
    <customSheetView guid="{61D25FAA-9885-4686-B739-70FDA39A07A1}" scale="90" showPageBreaks="1" printArea="1" showAutoFilter="1" hiddenRows="1" hiddenColumns="1" state="hidden" view="pageBreakPreview" topLeftCell="A4">
      <pane xSplit="4" ySplit="4" topLeftCell="AG8" activePane="bottomRight" state="frozen"/>
      <selection pane="bottomRight" activeCell="B109" sqref="B109"/>
      <colBreaks count="1" manualBreakCount="1">
        <brk id="179" max="242" man="1"/>
      </colBreaks>
      <pageMargins left="0.7" right="0.7" top="0.75" bottom="0.75" header="0.51180555555555551" footer="0.51180555555555551"/>
      <pageSetup paperSize="9" firstPageNumber="0" orientation="portrait" horizontalDpi="300" verticalDpi="300" r:id="rId2"/>
      <headerFooter alignWithMargins="0"/>
      <autoFilter ref="A7:JF251">
        <filterColumn colId="120" showButton="0"/>
        <filterColumn colId="122" showButton="0"/>
        <filterColumn colId="124" showButton="0"/>
        <filterColumn colId="126" showButton="0"/>
      </autoFilter>
    </customSheetView>
  </customSheetViews>
  <mergeCells count="37">
    <mergeCell ref="AQ5:AR5"/>
    <mergeCell ref="AS5:AT5"/>
    <mergeCell ref="AK5:AL5"/>
    <mergeCell ref="AM5:AN5"/>
    <mergeCell ref="AU5:AV5"/>
    <mergeCell ref="AC5:AD5"/>
    <mergeCell ref="AE5:AF5"/>
    <mergeCell ref="AG5:AH5"/>
    <mergeCell ref="AI5:AJ5"/>
    <mergeCell ref="AO5:AP5"/>
    <mergeCell ref="U5:V5"/>
    <mergeCell ref="W5:X5"/>
    <mergeCell ref="Y5:Z5"/>
    <mergeCell ref="O5:P5"/>
    <mergeCell ref="AA5:AB5"/>
    <mergeCell ref="I5:J5"/>
    <mergeCell ref="K5:L5"/>
    <mergeCell ref="M5:N5"/>
    <mergeCell ref="Q5:R5"/>
    <mergeCell ref="S5:T5"/>
    <mergeCell ref="A5:A6"/>
    <mergeCell ref="B5:B6"/>
    <mergeCell ref="D5:D6"/>
    <mergeCell ref="E5:F5"/>
    <mergeCell ref="G5:H5"/>
    <mergeCell ref="A3:AT3"/>
    <mergeCell ref="E4:N4"/>
    <mergeCell ref="Q4:Z4"/>
    <mergeCell ref="AE4:AF4"/>
    <mergeCell ref="AG4:AR4"/>
    <mergeCell ref="AS4:AT4"/>
    <mergeCell ref="BC5:BD5"/>
    <mergeCell ref="BE5:BF5"/>
    <mergeCell ref="BG5:BH5"/>
    <mergeCell ref="AW5:AX5"/>
    <mergeCell ref="AY5:AZ5"/>
    <mergeCell ref="BA5:BB5"/>
  </mergeCells>
  <pageMargins left="0.7" right="0.7" top="0.75" bottom="0.75" header="0.51180555555555551" footer="0.51180555555555551"/>
  <pageSetup paperSize="9" firstPageNumber="0" orientation="portrait" horizontalDpi="300" verticalDpi="300" r:id="rId3"/>
  <headerFooter alignWithMargins="0"/>
  <colBreaks count="1" manualBreakCount="1">
    <brk id="5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188"/>
  <sheetViews>
    <sheetView view="pageBreakPreview" topLeftCell="E163" zoomScale="90" zoomScaleNormal="90" zoomScaleSheetLayoutView="90" workbookViewId="0">
      <selection activeCell="V194" sqref="V194"/>
    </sheetView>
  </sheetViews>
  <sheetFormatPr baseColWidth="10" defaultColWidth="11.42578125" defaultRowHeight="12.75" x14ac:dyDescent="0.2"/>
  <cols>
    <col min="1" max="1" width="2.85546875" style="10" customWidth="1"/>
    <col min="2" max="2" width="3.140625" style="11" customWidth="1"/>
    <col min="3" max="3" width="3.7109375" style="12" customWidth="1"/>
    <col min="4" max="4" width="53.140625" style="2" customWidth="1"/>
    <col min="5" max="5" width="12.140625" style="13" customWidth="1"/>
    <col min="6" max="6" width="11.85546875" style="538" customWidth="1"/>
    <col min="7" max="7" width="11.85546875" style="14" customWidth="1"/>
    <col min="8" max="13" width="0" style="1" hidden="1" customWidth="1"/>
    <col min="14" max="14" width="9.28515625" style="1" customWidth="1"/>
    <col min="15" max="16384" width="11.42578125" style="1"/>
  </cols>
  <sheetData>
    <row r="2" spans="1:7" ht="47.25" customHeight="1" x14ac:dyDescent="0.2">
      <c r="B2" s="833" t="s">
        <v>362</v>
      </c>
      <c r="C2" s="833"/>
      <c r="D2" s="833"/>
      <c r="E2" s="56" t="s">
        <v>53</v>
      </c>
      <c r="F2" s="57" t="s">
        <v>210</v>
      </c>
      <c r="G2" s="33">
        <v>0.03</v>
      </c>
    </row>
    <row r="3" spans="1:7" ht="38.25" x14ac:dyDescent="0.2">
      <c r="A3" s="58" t="s">
        <v>58</v>
      </c>
      <c r="B3" s="59" t="s">
        <v>363</v>
      </c>
      <c r="F3" s="14"/>
      <c r="G3" s="60" t="s">
        <v>56</v>
      </c>
    </row>
    <row r="4" spans="1:7" ht="15.75" x14ac:dyDescent="0.2">
      <c r="B4" s="61">
        <v>1</v>
      </c>
      <c r="C4" s="62" t="s">
        <v>364</v>
      </c>
      <c r="F4" s="14"/>
    </row>
    <row r="5" spans="1:7" x14ac:dyDescent="0.2">
      <c r="B5" s="63"/>
      <c r="C5" s="64" t="s">
        <v>60</v>
      </c>
      <c r="E5" s="13" t="s">
        <v>61</v>
      </c>
      <c r="F5" s="150">
        <v>370.317538668</v>
      </c>
      <c r="G5" s="14">
        <f>ROUND((F5*(1+G$2)),2)</f>
        <v>381.43</v>
      </c>
    </row>
    <row r="6" spans="1:7" x14ac:dyDescent="0.2">
      <c r="B6" s="63"/>
      <c r="C6" s="64" t="s">
        <v>62</v>
      </c>
      <c r="E6" s="13" t="s">
        <v>61</v>
      </c>
      <c r="F6" s="150">
        <v>373.86124717200005</v>
      </c>
      <c r="G6" s="14">
        <f t="shared" ref="G6:G69" si="0">ROUND((F6*(1+G$2)),2)</f>
        <v>385.08</v>
      </c>
    </row>
    <row r="7" spans="1:7" x14ac:dyDescent="0.2">
      <c r="B7" s="63"/>
      <c r="C7" s="64" t="s">
        <v>63</v>
      </c>
      <c r="E7" s="13" t="s">
        <v>61</v>
      </c>
      <c r="F7" s="150">
        <v>400.43906095199992</v>
      </c>
      <c r="G7" s="14">
        <f t="shared" si="0"/>
        <v>412.45</v>
      </c>
    </row>
    <row r="8" spans="1:7" x14ac:dyDescent="0.2">
      <c r="B8" s="63"/>
      <c r="C8" s="64" t="s">
        <v>64</v>
      </c>
      <c r="E8" s="13" t="s">
        <v>61</v>
      </c>
      <c r="F8" s="150">
        <v>410.184259338</v>
      </c>
      <c r="G8" s="14">
        <f t="shared" si="0"/>
        <v>422.49</v>
      </c>
    </row>
    <row r="9" spans="1:7" x14ac:dyDescent="0.2">
      <c r="B9" s="63"/>
      <c r="C9" s="64" t="s">
        <v>65</v>
      </c>
      <c r="E9" s="13" t="s">
        <v>61</v>
      </c>
      <c r="F9" s="14">
        <v>360.34</v>
      </c>
      <c r="G9" s="14">
        <f t="shared" si="0"/>
        <v>371.15</v>
      </c>
    </row>
    <row r="10" spans="1:7" x14ac:dyDescent="0.2">
      <c r="B10" s="63"/>
      <c r="C10" s="64" t="s">
        <v>66</v>
      </c>
      <c r="E10" s="13" t="s">
        <v>61</v>
      </c>
      <c r="F10" s="14">
        <v>254.63</v>
      </c>
      <c r="G10" s="14">
        <f t="shared" si="0"/>
        <v>262.27</v>
      </c>
    </row>
    <row r="11" spans="1:7" x14ac:dyDescent="0.2">
      <c r="B11" s="63"/>
      <c r="C11" s="64" t="s">
        <v>67</v>
      </c>
      <c r="E11" s="13" t="s">
        <v>61</v>
      </c>
      <c r="F11" s="14">
        <v>254.63</v>
      </c>
      <c r="G11" s="14">
        <f t="shared" si="0"/>
        <v>262.27</v>
      </c>
    </row>
    <row r="12" spans="1:7" x14ac:dyDescent="0.2">
      <c r="B12" s="63"/>
      <c r="C12" s="64" t="s">
        <v>68</v>
      </c>
      <c r="E12" s="13" t="s">
        <v>61</v>
      </c>
      <c r="F12" s="14">
        <v>306.72000000000003</v>
      </c>
      <c r="G12" s="14">
        <f t="shared" si="0"/>
        <v>315.92</v>
      </c>
    </row>
    <row r="13" spans="1:7" x14ac:dyDescent="0.2">
      <c r="B13" s="63"/>
      <c r="C13" s="64" t="s">
        <v>69</v>
      </c>
      <c r="E13" s="13" t="s">
        <v>61</v>
      </c>
      <c r="F13" s="14">
        <v>306.72000000000003</v>
      </c>
      <c r="G13" s="14">
        <f t="shared" si="0"/>
        <v>315.92</v>
      </c>
    </row>
    <row r="14" spans="1:7" x14ac:dyDescent="0.2">
      <c r="B14" s="63"/>
      <c r="C14" s="64" t="s">
        <v>70</v>
      </c>
      <c r="E14" s="13" t="s">
        <v>61</v>
      </c>
      <c r="F14" s="14">
        <v>358.8</v>
      </c>
      <c r="G14" s="14">
        <f t="shared" si="0"/>
        <v>369.56</v>
      </c>
    </row>
    <row r="15" spans="1:7" x14ac:dyDescent="0.2">
      <c r="B15" s="63"/>
      <c r="C15" s="64" t="s">
        <v>71</v>
      </c>
      <c r="E15" s="13" t="s">
        <v>61</v>
      </c>
      <c r="F15" s="14">
        <v>327.7</v>
      </c>
      <c r="G15" s="14">
        <f t="shared" si="0"/>
        <v>337.53</v>
      </c>
    </row>
    <row r="16" spans="1:7" x14ac:dyDescent="0.2">
      <c r="B16" s="63"/>
      <c r="C16" s="64" t="s">
        <v>72</v>
      </c>
      <c r="E16" s="13" t="s">
        <v>61</v>
      </c>
      <c r="F16" s="14">
        <v>331.93</v>
      </c>
      <c r="G16" s="14">
        <f t="shared" si="0"/>
        <v>341.89</v>
      </c>
    </row>
    <row r="17" spans="2:15" x14ac:dyDescent="0.2">
      <c r="B17" s="63"/>
      <c r="C17" s="64" t="s">
        <v>73</v>
      </c>
      <c r="E17" s="13" t="s">
        <v>61</v>
      </c>
      <c r="F17" s="150">
        <v>395.4869415</v>
      </c>
      <c r="G17" s="14">
        <f t="shared" si="0"/>
        <v>407.35</v>
      </c>
    </row>
    <row r="18" spans="2:15" x14ac:dyDescent="0.2">
      <c r="F18" s="14"/>
      <c r="G18" s="14">
        <f t="shared" si="0"/>
        <v>0</v>
      </c>
    </row>
    <row r="19" spans="2:15" ht="15.75" x14ac:dyDescent="0.2">
      <c r="B19" s="61" t="s">
        <v>74</v>
      </c>
      <c r="C19" s="62" t="s">
        <v>75</v>
      </c>
      <c r="F19" s="14"/>
      <c r="G19" s="14">
        <f t="shared" si="0"/>
        <v>0</v>
      </c>
    </row>
    <row r="20" spans="2:15" x14ac:dyDescent="0.2">
      <c r="B20" s="63"/>
      <c r="C20" s="65" t="s">
        <v>76</v>
      </c>
      <c r="E20" s="13" t="s">
        <v>77</v>
      </c>
      <c r="F20" s="14"/>
      <c r="G20" s="14">
        <f t="shared" si="0"/>
        <v>0</v>
      </c>
      <c r="I20" s="1" t="s">
        <v>365</v>
      </c>
      <c r="O20" s="1" t="s">
        <v>366</v>
      </c>
    </row>
    <row r="21" spans="2:15" x14ac:dyDescent="0.2">
      <c r="B21" s="63"/>
      <c r="C21" s="65" t="s">
        <v>78</v>
      </c>
      <c r="E21" s="13" t="s">
        <v>77</v>
      </c>
      <c r="F21" s="14"/>
      <c r="G21" s="14">
        <f t="shared" si="0"/>
        <v>0</v>
      </c>
      <c r="I21" s="1" t="s">
        <v>365</v>
      </c>
      <c r="O21" s="1" t="s">
        <v>366</v>
      </c>
    </row>
    <row r="22" spans="2:15" x14ac:dyDescent="0.2">
      <c r="B22" s="63"/>
      <c r="C22" s="65" t="s">
        <v>79</v>
      </c>
      <c r="E22" s="13" t="s">
        <v>77</v>
      </c>
      <c r="F22" s="14"/>
      <c r="G22" s="14">
        <f t="shared" si="0"/>
        <v>0</v>
      </c>
      <c r="I22" s="1" t="s">
        <v>365</v>
      </c>
      <c r="O22" s="1" t="s">
        <v>366</v>
      </c>
    </row>
    <row r="23" spans="2:15" x14ac:dyDescent="0.2">
      <c r="B23" s="63"/>
      <c r="C23" s="65" t="s">
        <v>80</v>
      </c>
      <c r="E23" s="13" t="s">
        <v>77</v>
      </c>
      <c r="F23" s="14"/>
      <c r="G23" s="14">
        <f t="shared" si="0"/>
        <v>0</v>
      </c>
      <c r="I23" s="1" t="s">
        <v>365</v>
      </c>
      <c r="O23" s="1" t="s">
        <v>366</v>
      </c>
    </row>
    <row r="24" spans="2:15" x14ac:dyDescent="0.2">
      <c r="B24" s="63"/>
      <c r="C24" s="65" t="s">
        <v>81</v>
      </c>
      <c r="E24" s="13" t="s">
        <v>77</v>
      </c>
      <c r="F24" s="14"/>
      <c r="G24" s="14">
        <f t="shared" si="0"/>
        <v>0</v>
      </c>
      <c r="I24" s="1" t="s">
        <v>365</v>
      </c>
      <c r="O24" s="1" t="s">
        <v>366</v>
      </c>
    </row>
    <row r="25" spans="2:15" x14ac:dyDescent="0.2">
      <c r="C25" s="65"/>
      <c r="F25" s="14"/>
      <c r="G25" s="14">
        <f t="shared" si="0"/>
        <v>0</v>
      </c>
    </row>
    <row r="26" spans="2:15" ht="15.75" x14ac:dyDescent="0.25">
      <c r="B26" s="66" t="s">
        <v>82</v>
      </c>
      <c r="C26" s="67" t="s">
        <v>367</v>
      </c>
      <c r="F26" s="14"/>
      <c r="G26" s="14">
        <f t="shared" si="0"/>
        <v>0</v>
      </c>
    </row>
    <row r="27" spans="2:15" x14ac:dyDescent="0.2">
      <c r="B27" s="63"/>
      <c r="C27" s="68" t="s">
        <v>83</v>
      </c>
      <c r="D27" s="69" t="s">
        <v>84</v>
      </c>
      <c r="E27" s="70"/>
      <c r="F27" s="14"/>
      <c r="G27" s="14">
        <f t="shared" si="0"/>
        <v>0</v>
      </c>
    </row>
    <row r="28" spans="2:15" ht="13.5" customHeight="1" x14ac:dyDescent="0.2">
      <c r="B28" s="63"/>
      <c r="C28" s="65"/>
      <c r="D28" s="71" t="s">
        <v>989</v>
      </c>
      <c r="E28" s="13" t="s">
        <v>77</v>
      </c>
      <c r="F28" s="150">
        <v>19.331596620000003</v>
      </c>
      <c r="G28" s="14">
        <f t="shared" si="0"/>
        <v>19.91</v>
      </c>
    </row>
    <row r="29" spans="2:15" ht="13.5" customHeight="1" x14ac:dyDescent="0.2">
      <c r="B29" s="63"/>
      <c r="C29" s="65"/>
      <c r="D29" s="71" t="s">
        <v>992</v>
      </c>
      <c r="E29" s="13" t="s">
        <v>77</v>
      </c>
      <c r="F29" s="150">
        <v>18.411044399999998</v>
      </c>
      <c r="G29" s="14">
        <f t="shared" si="0"/>
        <v>18.96</v>
      </c>
    </row>
    <row r="30" spans="2:15" ht="13.5" customHeight="1" x14ac:dyDescent="0.2">
      <c r="B30" s="63"/>
      <c r="C30" s="65"/>
      <c r="D30" s="71" t="s">
        <v>998</v>
      </c>
      <c r="E30" s="13" t="s">
        <v>77</v>
      </c>
      <c r="F30" s="150">
        <v>14.26855941</v>
      </c>
      <c r="G30" s="14">
        <f t="shared" si="0"/>
        <v>14.7</v>
      </c>
    </row>
    <row r="31" spans="2:15" ht="13.5" customHeight="1" x14ac:dyDescent="0.2">
      <c r="B31" s="63"/>
      <c r="C31" s="65"/>
      <c r="D31" s="71" t="s">
        <v>999</v>
      </c>
      <c r="E31" s="13" t="s">
        <v>77</v>
      </c>
      <c r="F31" s="150">
        <v>16.10966385</v>
      </c>
      <c r="G31" s="14">
        <f t="shared" si="0"/>
        <v>16.59</v>
      </c>
    </row>
    <row r="32" spans="2:15" ht="13.5" customHeight="1" x14ac:dyDescent="0.2">
      <c r="B32" s="63"/>
      <c r="C32" s="65"/>
      <c r="D32" s="71" t="s">
        <v>995</v>
      </c>
      <c r="E32" s="13" t="s">
        <v>77</v>
      </c>
      <c r="F32" s="150">
        <v>18.411044399999998</v>
      </c>
      <c r="G32" s="14">
        <f t="shared" si="0"/>
        <v>18.96</v>
      </c>
    </row>
    <row r="33" spans="1:15" ht="13.5" customHeight="1" x14ac:dyDescent="0.2">
      <c r="B33" s="63"/>
      <c r="C33" s="65"/>
      <c r="D33" s="71" t="s">
        <v>996</v>
      </c>
      <c r="E33" s="10"/>
      <c r="F33" s="150">
        <v>22.323391335</v>
      </c>
      <c r="G33" s="14">
        <f t="shared" si="0"/>
        <v>22.99</v>
      </c>
    </row>
    <row r="34" spans="1:15" s="337" customFormat="1" ht="13.5" customHeight="1" x14ac:dyDescent="0.2">
      <c r="A34" s="332"/>
      <c r="B34" s="333"/>
      <c r="C34" s="334" t="s">
        <v>83</v>
      </c>
      <c r="D34" s="335" t="s">
        <v>89</v>
      </c>
      <c r="E34" s="336"/>
      <c r="F34" s="14"/>
      <c r="G34" s="337">
        <f t="shared" si="0"/>
        <v>0</v>
      </c>
    </row>
    <row r="35" spans="1:15" s="337" customFormat="1" ht="13.5" customHeight="1" x14ac:dyDescent="0.2">
      <c r="A35" s="332"/>
      <c r="B35" s="333"/>
      <c r="C35" s="338"/>
      <c r="D35" s="339" t="s">
        <v>85</v>
      </c>
      <c r="E35" s="340" t="s">
        <v>77</v>
      </c>
      <c r="F35" s="14">
        <v>17.441000000000003</v>
      </c>
      <c r="G35" s="337">
        <f t="shared" si="0"/>
        <v>17.96</v>
      </c>
    </row>
    <row r="36" spans="1:15" s="337" customFormat="1" ht="13.5" customHeight="1" x14ac:dyDescent="0.2">
      <c r="A36" s="332"/>
      <c r="B36" s="333"/>
      <c r="C36" s="338"/>
      <c r="D36" s="339" t="s">
        <v>86</v>
      </c>
      <c r="E36" s="340" t="s">
        <v>77</v>
      </c>
      <c r="F36" s="14">
        <v>31.393800000000002</v>
      </c>
      <c r="G36" s="337">
        <f t="shared" si="0"/>
        <v>32.340000000000003</v>
      </c>
    </row>
    <row r="37" spans="1:15" s="337" customFormat="1" ht="13.5" customHeight="1" x14ac:dyDescent="0.2">
      <c r="A37" s="332"/>
      <c r="B37" s="333"/>
      <c r="C37" s="338"/>
      <c r="D37" s="339" t="s">
        <v>87</v>
      </c>
      <c r="E37" s="340" t="s">
        <v>77</v>
      </c>
      <c r="F37" s="14">
        <v>14.8302</v>
      </c>
      <c r="G37" s="337">
        <f t="shared" si="0"/>
        <v>15.28</v>
      </c>
    </row>
    <row r="38" spans="1:15" s="337" customFormat="1" ht="13.5" customHeight="1" x14ac:dyDescent="0.2">
      <c r="A38" s="332"/>
      <c r="B38" s="333"/>
      <c r="C38" s="338"/>
      <c r="D38" s="339" t="s">
        <v>88</v>
      </c>
      <c r="E38" s="340" t="s">
        <v>77</v>
      </c>
      <c r="F38" s="14">
        <v>15.696900000000001</v>
      </c>
      <c r="G38" s="337">
        <f t="shared" si="0"/>
        <v>16.170000000000002</v>
      </c>
    </row>
    <row r="39" spans="1:15" s="337" customFormat="1" x14ac:dyDescent="0.2">
      <c r="A39" s="332"/>
      <c r="B39" s="333"/>
      <c r="C39" s="338"/>
      <c r="D39" s="341"/>
      <c r="E39" s="340"/>
      <c r="F39" s="14"/>
      <c r="G39" s="337">
        <f t="shared" si="0"/>
        <v>0</v>
      </c>
    </row>
    <row r="40" spans="1:15" s="14" customFormat="1" x14ac:dyDescent="0.2">
      <c r="A40" s="343"/>
      <c r="B40" s="344"/>
      <c r="C40" s="345" t="s">
        <v>83</v>
      </c>
      <c r="D40" s="76" t="s">
        <v>90</v>
      </c>
      <c r="E40" s="77"/>
      <c r="G40" s="14">
        <f t="shared" si="0"/>
        <v>0</v>
      </c>
    </row>
    <row r="41" spans="1:15" x14ac:dyDescent="0.2">
      <c r="D41" s="71" t="s">
        <v>91</v>
      </c>
      <c r="E41" s="13" t="s">
        <v>77</v>
      </c>
      <c r="F41" s="150">
        <v>32.956532699999997</v>
      </c>
      <c r="G41" s="14">
        <f t="shared" si="0"/>
        <v>33.950000000000003</v>
      </c>
      <c r="O41" s="1" t="s">
        <v>368</v>
      </c>
    </row>
    <row r="42" spans="1:15" x14ac:dyDescent="0.2">
      <c r="D42" s="72" t="s">
        <v>92</v>
      </c>
      <c r="E42" s="13" t="s">
        <v>77</v>
      </c>
      <c r="F42" s="150">
        <v>40.082269499999995</v>
      </c>
      <c r="G42" s="14">
        <f t="shared" si="0"/>
        <v>41.28</v>
      </c>
      <c r="O42" s="1" t="s">
        <v>368</v>
      </c>
    </row>
    <row r="43" spans="1:15" x14ac:dyDescent="0.2">
      <c r="D43" s="71" t="s">
        <v>93</v>
      </c>
      <c r="E43" s="13" t="s">
        <v>77</v>
      </c>
      <c r="F43" s="150">
        <v>37.410118199999992</v>
      </c>
      <c r="G43" s="14">
        <f t="shared" si="0"/>
        <v>38.53</v>
      </c>
      <c r="O43" s="1" t="s">
        <v>368</v>
      </c>
    </row>
    <row r="44" spans="1:15" x14ac:dyDescent="0.2">
      <c r="D44" s="71" t="s">
        <v>94</v>
      </c>
      <c r="E44" s="13" t="s">
        <v>77</v>
      </c>
      <c r="F44" s="150">
        <v>36.964759649999991</v>
      </c>
      <c r="G44" s="14">
        <f t="shared" si="0"/>
        <v>38.07</v>
      </c>
      <c r="O44" s="1" t="s">
        <v>368</v>
      </c>
    </row>
    <row r="45" spans="1:15" x14ac:dyDescent="0.2">
      <c r="D45" s="71" t="s">
        <v>95</v>
      </c>
      <c r="E45" s="13" t="s">
        <v>77</v>
      </c>
      <c r="F45" s="150">
        <v>46.762647749999992</v>
      </c>
      <c r="G45" s="14">
        <f t="shared" si="0"/>
        <v>48.17</v>
      </c>
      <c r="O45" s="1" t="s">
        <v>368</v>
      </c>
    </row>
    <row r="46" spans="1:15" x14ac:dyDescent="0.2">
      <c r="D46" s="71" t="s">
        <v>96</v>
      </c>
      <c r="E46" s="13" t="s">
        <v>77</v>
      </c>
      <c r="F46" s="150">
        <v>38.74619384999999</v>
      </c>
      <c r="G46" s="14">
        <f t="shared" si="0"/>
        <v>39.909999999999997</v>
      </c>
      <c r="O46" s="1" t="s">
        <v>368</v>
      </c>
    </row>
    <row r="47" spans="1:15" x14ac:dyDescent="0.2">
      <c r="D47" s="71" t="s">
        <v>97</v>
      </c>
      <c r="E47" s="13" t="s">
        <v>77</v>
      </c>
      <c r="F47" s="150">
        <v>55.66981874999999</v>
      </c>
      <c r="G47" s="14">
        <f t="shared" si="0"/>
        <v>57.34</v>
      </c>
      <c r="O47" s="1" t="s">
        <v>368</v>
      </c>
    </row>
    <row r="48" spans="1:15" x14ac:dyDescent="0.2">
      <c r="D48" s="71" t="s">
        <v>98</v>
      </c>
      <c r="E48" s="13" t="s">
        <v>77</v>
      </c>
      <c r="F48" s="150">
        <v>51.216233249999981</v>
      </c>
      <c r="G48" s="14">
        <f t="shared" si="0"/>
        <v>52.75</v>
      </c>
      <c r="O48" s="1" t="s">
        <v>368</v>
      </c>
    </row>
    <row r="49" spans="1:15" x14ac:dyDescent="0.2">
      <c r="D49" s="71" t="s">
        <v>99</v>
      </c>
      <c r="E49" s="13" t="s">
        <v>77</v>
      </c>
      <c r="F49" s="150">
        <v>53.443025999999996</v>
      </c>
      <c r="G49" s="14">
        <f t="shared" si="0"/>
        <v>55.05</v>
      </c>
      <c r="O49" s="1" t="s">
        <v>368</v>
      </c>
    </row>
    <row r="50" spans="1:15" x14ac:dyDescent="0.2">
      <c r="D50" s="71" t="s">
        <v>100</v>
      </c>
      <c r="E50" s="13" t="s">
        <v>77</v>
      </c>
      <c r="F50" s="150">
        <v>60.520193999999989</v>
      </c>
      <c r="G50" s="14">
        <f t="shared" si="0"/>
        <v>62.34</v>
      </c>
      <c r="O50" s="1" t="s">
        <v>368</v>
      </c>
    </row>
    <row r="51" spans="1:15" x14ac:dyDescent="0.2">
      <c r="D51" s="71" t="s">
        <v>220</v>
      </c>
      <c r="E51" s="13" t="s">
        <v>77</v>
      </c>
      <c r="F51" s="14">
        <v>18.229269000000006</v>
      </c>
      <c r="G51" s="14">
        <f t="shared" si="0"/>
        <v>18.78</v>
      </c>
      <c r="O51" s="1" t="s">
        <v>368</v>
      </c>
    </row>
    <row r="52" spans="1:15" x14ac:dyDescent="0.2">
      <c r="D52" s="71"/>
      <c r="F52" s="14"/>
      <c r="G52" s="14">
        <f t="shared" si="0"/>
        <v>0</v>
      </c>
    </row>
    <row r="53" spans="1:15" s="337" customFormat="1" x14ac:dyDescent="0.2">
      <c r="A53" s="332"/>
      <c r="B53" s="342"/>
      <c r="C53" s="334" t="s">
        <v>101</v>
      </c>
      <c r="D53" s="335" t="s">
        <v>102</v>
      </c>
      <c r="E53" s="336"/>
      <c r="F53" s="14"/>
      <c r="G53" s="337">
        <f t="shared" si="0"/>
        <v>0</v>
      </c>
    </row>
    <row r="54" spans="1:15" s="337" customFormat="1" x14ac:dyDescent="0.2">
      <c r="A54" s="332"/>
      <c r="B54" s="342"/>
      <c r="C54" s="346"/>
      <c r="D54" s="339" t="s">
        <v>91</v>
      </c>
      <c r="E54" s="340" t="s">
        <v>77</v>
      </c>
      <c r="F54" s="14">
        <v>21.07</v>
      </c>
      <c r="G54" s="337">
        <f t="shared" si="0"/>
        <v>21.7</v>
      </c>
      <c r="O54" s="337" t="s">
        <v>368</v>
      </c>
    </row>
    <row r="55" spans="1:15" s="337" customFormat="1" x14ac:dyDescent="0.2">
      <c r="A55" s="332"/>
      <c r="B55" s="342"/>
      <c r="C55" s="346"/>
      <c r="D55" s="339" t="s">
        <v>92</v>
      </c>
      <c r="E55" s="340" t="s">
        <v>77</v>
      </c>
      <c r="F55" s="14">
        <v>31.89</v>
      </c>
      <c r="G55" s="337">
        <f t="shared" si="0"/>
        <v>32.85</v>
      </c>
      <c r="O55" s="337" t="s">
        <v>368</v>
      </c>
    </row>
    <row r="56" spans="1:15" s="337" customFormat="1" x14ac:dyDescent="0.2">
      <c r="A56" s="332"/>
      <c r="B56" s="342"/>
      <c r="C56" s="346"/>
      <c r="D56" s="339" t="s">
        <v>93</v>
      </c>
      <c r="E56" s="340" t="s">
        <v>77</v>
      </c>
      <c r="F56" s="14">
        <v>24.819300000000002</v>
      </c>
      <c r="G56" s="337">
        <f t="shared" si="0"/>
        <v>25.56</v>
      </c>
      <c r="O56" s="337" t="s">
        <v>368</v>
      </c>
    </row>
    <row r="57" spans="1:15" s="337" customFormat="1" x14ac:dyDescent="0.2">
      <c r="A57" s="332"/>
      <c r="B57" s="342"/>
      <c r="C57" s="346"/>
      <c r="D57" s="339" t="s">
        <v>94</v>
      </c>
      <c r="E57" s="340" t="s">
        <v>77</v>
      </c>
      <c r="F57" s="14">
        <v>20.02</v>
      </c>
      <c r="G57" s="337">
        <f t="shared" si="0"/>
        <v>20.62</v>
      </c>
      <c r="O57" s="337" t="s">
        <v>368</v>
      </c>
    </row>
    <row r="58" spans="1:15" s="337" customFormat="1" x14ac:dyDescent="0.2">
      <c r="A58" s="332"/>
      <c r="B58" s="342"/>
      <c r="C58" s="346"/>
      <c r="D58" s="339" t="s">
        <v>95</v>
      </c>
      <c r="E58" s="340" t="s">
        <v>77</v>
      </c>
      <c r="F58" s="14">
        <v>29.938921000000004</v>
      </c>
      <c r="G58" s="337">
        <f t="shared" si="0"/>
        <v>30.84</v>
      </c>
      <c r="O58" s="337" t="s">
        <v>368</v>
      </c>
    </row>
    <row r="59" spans="1:15" s="337" customFormat="1" x14ac:dyDescent="0.2">
      <c r="A59" s="332"/>
      <c r="B59" s="342"/>
      <c r="C59" s="346"/>
      <c r="D59" s="339" t="s">
        <v>96</v>
      </c>
      <c r="E59" s="340" t="s">
        <v>77</v>
      </c>
      <c r="F59" s="14">
        <v>27.944548000000005</v>
      </c>
      <c r="G59" s="337">
        <f t="shared" si="0"/>
        <v>28.78</v>
      </c>
      <c r="O59" s="337" t="s">
        <v>368</v>
      </c>
    </row>
    <row r="60" spans="1:15" s="337" customFormat="1" x14ac:dyDescent="0.2">
      <c r="A60" s="332"/>
      <c r="B60" s="342"/>
      <c r="C60" s="346"/>
      <c r="D60" s="339" t="s">
        <v>97</v>
      </c>
      <c r="E60" s="340" t="s">
        <v>77</v>
      </c>
      <c r="F60" s="14">
        <v>31.933294000000004</v>
      </c>
      <c r="G60" s="337">
        <f t="shared" si="0"/>
        <v>32.89</v>
      </c>
      <c r="O60" s="337" t="s">
        <v>368</v>
      </c>
    </row>
    <row r="61" spans="1:15" s="337" customFormat="1" x14ac:dyDescent="0.2">
      <c r="A61" s="332"/>
      <c r="B61" s="342"/>
      <c r="C61" s="346"/>
      <c r="D61" s="339" t="s">
        <v>98</v>
      </c>
      <c r="E61" s="340" t="s">
        <v>77</v>
      </c>
      <c r="F61" s="14">
        <v>29.938921000000004</v>
      </c>
      <c r="G61" s="337">
        <f t="shared" si="0"/>
        <v>30.84</v>
      </c>
      <c r="O61" s="337" t="s">
        <v>368</v>
      </c>
    </row>
    <row r="62" spans="1:15" s="337" customFormat="1" x14ac:dyDescent="0.2">
      <c r="A62" s="332"/>
      <c r="B62" s="342"/>
      <c r="C62" s="346"/>
      <c r="D62" s="339" t="s">
        <v>99</v>
      </c>
      <c r="E62" s="340" t="s">
        <v>77</v>
      </c>
      <c r="F62" s="14">
        <v>18.229269000000006</v>
      </c>
      <c r="G62" s="337">
        <f t="shared" si="0"/>
        <v>18.78</v>
      </c>
      <c r="O62" s="337" t="s">
        <v>368</v>
      </c>
    </row>
    <row r="63" spans="1:15" s="337" customFormat="1" x14ac:dyDescent="0.2">
      <c r="A63" s="332"/>
      <c r="B63" s="342"/>
      <c r="C63" s="346"/>
      <c r="D63" s="339" t="s">
        <v>100</v>
      </c>
      <c r="E63" s="340" t="s">
        <v>77</v>
      </c>
      <c r="F63" s="14">
        <v>48.424776000000016</v>
      </c>
      <c r="G63" s="337">
        <f t="shared" si="0"/>
        <v>49.88</v>
      </c>
      <c r="O63" s="337" t="s">
        <v>368</v>
      </c>
    </row>
    <row r="64" spans="1:15" s="337" customFormat="1" x14ac:dyDescent="0.2">
      <c r="A64" s="332"/>
      <c r="B64" s="342"/>
      <c r="C64" s="346"/>
      <c r="D64" s="339" t="s">
        <v>220</v>
      </c>
      <c r="E64" s="340" t="s">
        <v>77</v>
      </c>
      <c r="F64" s="14">
        <v>18.229269000000006</v>
      </c>
      <c r="G64" s="337">
        <f t="shared" si="0"/>
        <v>18.78</v>
      </c>
      <c r="O64" s="337" t="s">
        <v>368</v>
      </c>
    </row>
    <row r="65" spans="1:15" s="337" customFormat="1" x14ac:dyDescent="0.2">
      <c r="A65" s="332"/>
      <c r="B65" s="342"/>
      <c r="C65" s="346"/>
      <c r="D65" s="339"/>
      <c r="E65" s="340"/>
      <c r="F65" s="14"/>
      <c r="G65" s="337">
        <f t="shared" si="0"/>
        <v>0</v>
      </c>
    </row>
    <row r="66" spans="1:15" x14ac:dyDescent="0.2">
      <c r="C66" s="68" t="s">
        <v>103</v>
      </c>
      <c r="D66" s="69" t="s">
        <v>104</v>
      </c>
      <c r="E66" s="70"/>
      <c r="F66" s="14"/>
      <c r="G66" s="14">
        <f t="shared" si="0"/>
        <v>0</v>
      </c>
    </row>
    <row r="67" spans="1:15" x14ac:dyDescent="0.2">
      <c r="D67" s="71" t="s">
        <v>105</v>
      </c>
      <c r="E67" s="13" t="s">
        <v>77</v>
      </c>
      <c r="F67" s="150">
        <v>9.6657983100000013</v>
      </c>
      <c r="G67" s="14">
        <f t="shared" si="0"/>
        <v>9.9600000000000009</v>
      </c>
    </row>
    <row r="68" spans="1:15" x14ac:dyDescent="0.2">
      <c r="D68" s="71" t="s">
        <v>106</v>
      </c>
      <c r="E68" s="13" t="s">
        <v>77</v>
      </c>
      <c r="F68" s="150">
        <v>26.465876325</v>
      </c>
      <c r="G68" s="14">
        <f t="shared" si="0"/>
        <v>27.26</v>
      </c>
    </row>
    <row r="69" spans="1:15" x14ac:dyDescent="0.2">
      <c r="D69" s="71"/>
      <c r="F69" s="14"/>
      <c r="G69" s="14">
        <f t="shared" si="0"/>
        <v>0</v>
      </c>
    </row>
    <row r="70" spans="1:15" x14ac:dyDescent="0.2">
      <c r="C70" s="68" t="s">
        <v>103</v>
      </c>
      <c r="D70" s="69" t="s">
        <v>107</v>
      </c>
      <c r="E70" s="70"/>
      <c r="F70" s="14"/>
      <c r="G70" s="14">
        <f t="shared" ref="G70:G137" si="1">ROUND((F70*(1+G$2)),2)</f>
        <v>0</v>
      </c>
    </row>
    <row r="71" spans="1:15" x14ac:dyDescent="0.2">
      <c r="D71" s="71" t="s">
        <v>953</v>
      </c>
      <c r="E71" s="13" t="s">
        <v>77</v>
      </c>
      <c r="F71" s="150">
        <v>26.147236500000005</v>
      </c>
      <c r="G71" s="14">
        <f t="shared" si="1"/>
        <v>26.93</v>
      </c>
    </row>
    <row r="72" spans="1:15" x14ac:dyDescent="0.2">
      <c r="D72" s="71" t="s">
        <v>954</v>
      </c>
      <c r="F72" s="150">
        <v>24.166385250000001</v>
      </c>
      <c r="G72" s="14">
        <f t="shared" si="1"/>
        <v>24.89</v>
      </c>
    </row>
    <row r="73" spans="1:15" x14ac:dyDescent="0.2">
      <c r="D73" s="71" t="s">
        <v>956</v>
      </c>
      <c r="E73" s="13" t="s">
        <v>77</v>
      </c>
      <c r="F73" s="150">
        <v>33.674471250000003</v>
      </c>
      <c r="G73" s="14">
        <f t="shared" si="1"/>
        <v>34.68</v>
      </c>
    </row>
    <row r="74" spans="1:15" x14ac:dyDescent="0.2">
      <c r="D74" s="71" t="s">
        <v>955</v>
      </c>
      <c r="F74" s="150">
        <v>35.655322500000004</v>
      </c>
      <c r="G74" s="14">
        <f t="shared" si="1"/>
        <v>36.72</v>
      </c>
    </row>
    <row r="75" spans="1:15" x14ac:dyDescent="0.2">
      <c r="D75" s="71" t="s">
        <v>108</v>
      </c>
      <c r="E75" s="13" t="s">
        <v>77</v>
      </c>
      <c r="F75" s="150">
        <v>10.124810640000002</v>
      </c>
      <c r="G75" s="14">
        <f t="shared" si="1"/>
        <v>10.43</v>
      </c>
    </row>
    <row r="76" spans="1:15" x14ac:dyDescent="0.2">
      <c r="D76" s="71"/>
      <c r="F76" s="14"/>
      <c r="G76" s="14">
        <f t="shared" si="1"/>
        <v>0</v>
      </c>
    </row>
    <row r="77" spans="1:15" ht="15.75" x14ac:dyDescent="0.25">
      <c r="B77" s="66" t="s">
        <v>109</v>
      </c>
      <c r="C77" s="67" t="s">
        <v>369</v>
      </c>
      <c r="F77" s="14"/>
      <c r="G77" s="14">
        <f t="shared" si="1"/>
        <v>0</v>
      </c>
    </row>
    <row r="78" spans="1:15" x14ac:dyDescent="0.2">
      <c r="B78" s="63"/>
      <c r="C78" s="12" t="s">
        <v>111</v>
      </c>
      <c r="D78" s="73"/>
      <c r="E78" s="13" t="s">
        <v>77</v>
      </c>
      <c r="F78" s="150">
        <v>22.023591743999997</v>
      </c>
      <c r="G78" s="14">
        <f t="shared" si="1"/>
        <v>22.68</v>
      </c>
      <c r="H78" s="22"/>
      <c r="I78" s="22"/>
      <c r="J78" s="22"/>
      <c r="K78" s="22"/>
      <c r="L78" s="22"/>
      <c r="M78" s="22"/>
      <c r="N78" s="22"/>
      <c r="O78" s="89"/>
    </row>
    <row r="79" spans="1:15" x14ac:dyDescent="0.2">
      <c r="C79" s="12" t="s">
        <v>215</v>
      </c>
      <c r="E79" s="13" t="s">
        <v>77</v>
      </c>
      <c r="F79" s="150">
        <v>16.807510776000001</v>
      </c>
      <c r="G79" s="14">
        <f t="shared" si="1"/>
        <v>17.309999999999999</v>
      </c>
      <c r="N79" s="22"/>
    </row>
    <row r="80" spans="1:15" x14ac:dyDescent="0.2">
      <c r="C80" s="12" t="s">
        <v>216</v>
      </c>
      <c r="E80" s="13" t="s">
        <v>77</v>
      </c>
      <c r="F80" s="150">
        <v>17.007600190000002</v>
      </c>
      <c r="G80" s="14">
        <f t="shared" si="1"/>
        <v>17.52</v>
      </c>
      <c r="N80" s="22"/>
    </row>
    <row r="81" spans="1:15" x14ac:dyDescent="0.2">
      <c r="C81" s="12" t="s">
        <v>217</v>
      </c>
      <c r="E81" s="13" t="s">
        <v>77</v>
      </c>
      <c r="F81" s="150">
        <v>18.008047260000001</v>
      </c>
      <c r="G81" s="14">
        <f t="shared" si="1"/>
        <v>18.55</v>
      </c>
      <c r="N81" s="22"/>
    </row>
    <row r="82" spans="1:15" x14ac:dyDescent="0.2">
      <c r="C82" s="12" t="s">
        <v>218</v>
      </c>
      <c r="E82" s="13" t="s">
        <v>77</v>
      </c>
      <c r="F82" s="150">
        <v>18.008047260000001</v>
      </c>
      <c r="G82" s="14">
        <f t="shared" si="1"/>
        <v>18.55</v>
      </c>
      <c r="N82" s="22"/>
    </row>
    <row r="83" spans="1:15" x14ac:dyDescent="0.2">
      <c r="F83" s="14"/>
      <c r="G83" s="14">
        <f t="shared" si="1"/>
        <v>0</v>
      </c>
    </row>
    <row r="84" spans="1:15" s="78" customFormat="1" ht="15.75" x14ac:dyDescent="0.25">
      <c r="A84" s="74"/>
      <c r="B84" s="75" t="s">
        <v>116</v>
      </c>
      <c r="C84" s="67" t="s">
        <v>370</v>
      </c>
      <c r="D84" s="76"/>
      <c r="E84" s="77"/>
      <c r="G84" s="14">
        <f t="shared" si="1"/>
        <v>0</v>
      </c>
    </row>
    <row r="85" spans="1:15" x14ac:dyDescent="0.2">
      <c r="C85" s="1" t="s">
        <v>118</v>
      </c>
      <c r="E85" s="13" t="s">
        <v>77</v>
      </c>
      <c r="F85" s="150">
        <v>21.078281</v>
      </c>
      <c r="G85" s="14">
        <f t="shared" si="1"/>
        <v>21.71</v>
      </c>
    </row>
    <row r="86" spans="1:15" s="337" customFormat="1" x14ac:dyDescent="0.2">
      <c r="A86" s="332"/>
      <c r="B86" s="342"/>
      <c r="C86" s="337" t="s">
        <v>119</v>
      </c>
      <c r="D86" s="341"/>
      <c r="E86" s="340" t="s">
        <v>77</v>
      </c>
      <c r="F86" s="14"/>
      <c r="G86" s="337">
        <f t="shared" si="1"/>
        <v>0</v>
      </c>
    </row>
    <row r="87" spans="1:15" x14ac:dyDescent="0.2">
      <c r="F87" s="14"/>
      <c r="G87" s="14">
        <f t="shared" si="1"/>
        <v>0</v>
      </c>
    </row>
    <row r="88" spans="1:15" ht="15.75" x14ac:dyDescent="0.25">
      <c r="B88" s="66" t="s">
        <v>120</v>
      </c>
      <c r="C88" s="67" t="s">
        <v>371</v>
      </c>
      <c r="F88" s="14"/>
      <c r="G88" s="14">
        <f t="shared" si="1"/>
        <v>0</v>
      </c>
    </row>
    <row r="89" spans="1:15" x14ac:dyDescent="0.2">
      <c r="C89" s="1" t="s">
        <v>121</v>
      </c>
      <c r="E89" s="13" t="s">
        <v>77</v>
      </c>
      <c r="F89" s="150">
        <v>18.789781920000003</v>
      </c>
      <c r="G89" s="14">
        <f t="shared" si="1"/>
        <v>19.350000000000001</v>
      </c>
    </row>
    <row r="90" spans="1:15" s="26" customFormat="1" x14ac:dyDescent="0.2">
      <c r="A90" s="79"/>
      <c r="B90" s="80"/>
      <c r="C90" s="26" t="s">
        <v>122</v>
      </c>
      <c r="D90" s="81"/>
      <c r="E90" s="82" t="s">
        <v>77</v>
      </c>
      <c r="F90" s="14"/>
      <c r="G90" s="14">
        <f t="shared" si="1"/>
        <v>0</v>
      </c>
      <c r="O90" s="1" t="s">
        <v>366</v>
      </c>
    </row>
    <row r="91" spans="1:15" s="26" customFormat="1" x14ac:dyDescent="0.2">
      <c r="A91" s="79"/>
      <c r="B91" s="80"/>
      <c r="C91" s="26" t="s">
        <v>123</v>
      </c>
      <c r="D91" s="81"/>
      <c r="E91" s="82" t="s">
        <v>77</v>
      </c>
      <c r="F91" s="14"/>
      <c r="G91" s="14">
        <f t="shared" si="1"/>
        <v>0</v>
      </c>
      <c r="O91" s="1" t="s">
        <v>366</v>
      </c>
    </row>
    <row r="92" spans="1:15" x14ac:dyDescent="0.2">
      <c r="F92" s="14"/>
      <c r="G92" s="14">
        <f t="shared" si="1"/>
        <v>0</v>
      </c>
    </row>
    <row r="93" spans="1:15" ht="15.75" x14ac:dyDescent="0.25">
      <c r="B93" s="66" t="s">
        <v>124</v>
      </c>
      <c r="C93" s="67" t="s">
        <v>125</v>
      </c>
      <c r="F93" s="14"/>
      <c r="G93" s="14">
        <f t="shared" si="1"/>
        <v>0</v>
      </c>
    </row>
    <row r="94" spans="1:15" x14ac:dyDescent="0.2">
      <c r="C94" s="1" t="s">
        <v>126</v>
      </c>
      <c r="E94" s="13" t="s">
        <v>77</v>
      </c>
      <c r="F94" s="150">
        <v>19.483027200000002</v>
      </c>
      <c r="G94" s="14">
        <f t="shared" si="1"/>
        <v>20.07</v>
      </c>
    </row>
    <row r="95" spans="1:15" x14ac:dyDescent="0.2">
      <c r="C95" s="1" t="s">
        <v>127</v>
      </c>
      <c r="E95" s="13" t="s">
        <v>77</v>
      </c>
      <c r="F95" s="150">
        <v>19.483027200000002</v>
      </c>
      <c r="G95" s="14">
        <f t="shared" si="1"/>
        <v>20.07</v>
      </c>
    </row>
    <row r="96" spans="1:15" x14ac:dyDescent="0.2">
      <c r="F96" s="14"/>
      <c r="G96" s="14">
        <f t="shared" si="1"/>
        <v>0</v>
      </c>
    </row>
    <row r="97" spans="1:7" ht="15.75" x14ac:dyDescent="0.25">
      <c r="B97" s="66" t="s">
        <v>128</v>
      </c>
      <c r="C97" s="67" t="s">
        <v>129</v>
      </c>
      <c r="F97" s="14"/>
      <c r="G97" s="14">
        <f t="shared" si="1"/>
        <v>0</v>
      </c>
    </row>
    <row r="98" spans="1:7" x14ac:dyDescent="0.2">
      <c r="C98" s="68" t="s">
        <v>130</v>
      </c>
      <c r="D98" s="83" t="s">
        <v>131</v>
      </c>
      <c r="E98" s="84"/>
      <c r="F98" s="14"/>
      <c r="G98" s="14">
        <f t="shared" si="1"/>
        <v>0</v>
      </c>
    </row>
    <row r="99" spans="1:7" x14ac:dyDescent="0.2">
      <c r="D99" s="1" t="s">
        <v>132</v>
      </c>
      <c r="E99" s="13" t="s">
        <v>77</v>
      </c>
      <c r="F99" s="150">
        <v>125.81252039999998</v>
      </c>
      <c r="G99" s="14">
        <f t="shared" si="1"/>
        <v>129.59</v>
      </c>
    </row>
    <row r="100" spans="1:7" x14ac:dyDescent="0.2">
      <c r="D100" s="1" t="s">
        <v>134</v>
      </c>
      <c r="E100" s="13" t="s">
        <v>77</v>
      </c>
      <c r="F100" s="150">
        <v>73.975238399999995</v>
      </c>
      <c r="G100" s="14">
        <f t="shared" si="1"/>
        <v>76.19</v>
      </c>
    </row>
    <row r="101" spans="1:7" x14ac:dyDescent="0.2">
      <c r="D101" s="1" t="s">
        <v>133</v>
      </c>
      <c r="E101" s="13" t="s">
        <v>77</v>
      </c>
      <c r="F101" s="150">
        <v>125.81252039999998</v>
      </c>
      <c r="G101" s="14">
        <f t="shared" si="1"/>
        <v>129.59</v>
      </c>
    </row>
    <row r="102" spans="1:7" x14ac:dyDescent="0.2">
      <c r="D102" s="1" t="s">
        <v>135</v>
      </c>
      <c r="E102" s="13" t="s">
        <v>77</v>
      </c>
      <c r="F102" s="150">
        <v>73.975238399999995</v>
      </c>
      <c r="G102" s="14">
        <f t="shared" si="1"/>
        <v>76.19</v>
      </c>
    </row>
    <row r="103" spans="1:7" x14ac:dyDescent="0.2">
      <c r="D103" s="1" t="s">
        <v>136</v>
      </c>
      <c r="E103" s="13" t="s">
        <v>77</v>
      </c>
      <c r="F103" s="150">
        <v>73.975238399999995</v>
      </c>
      <c r="G103" s="14">
        <f t="shared" si="1"/>
        <v>76.19</v>
      </c>
    </row>
    <row r="104" spans="1:7" x14ac:dyDescent="0.2">
      <c r="D104" s="1" t="s">
        <v>137</v>
      </c>
      <c r="E104" s="13" t="s">
        <v>77</v>
      </c>
      <c r="F104" s="150">
        <v>73.975238399999995</v>
      </c>
      <c r="G104" s="14">
        <f t="shared" si="1"/>
        <v>76.19</v>
      </c>
    </row>
    <row r="105" spans="1:7" x14ac:dyDescent="0.2">
      <c r="D105" s="1" t="s">
        <v>138</v>
      </c>
      <c r="E105" s="13" t="s">
        <v>77</v>
      </c>
      <c r="F105" s="14"/>
      <c r="G105" s="14">
        <f t="shared" si="1"/>
        <v>0</v>
      </c>
    </row>
    <row r="106" spans="1:7" ht="15" x14ac:dyDescent="0.25">
      <c r="D106" s="85"/>
      <c r="E106" s="86"/>
      <c r="F106" s="14"/>
      <c r="G106" s="14">
        <f t="shared" si="1"/>
        <v>0</v>
      </c>
    </row>
    <row r="107" spans="1:7" s="337" customFormat="1" x14ac:dyDescent="0.2">
      <c r="A107" s="332"/>
      <c r="B107" s="342"/>
      <c r="C107" s="334" t="s">
        <v>139</v>
      </c>
      <c r="D107" s="347" t="s">
        <v>140</v>
      </c>
      <c r="E107" s="348"/>
      <c r="F107" s="14"/>
      <c r="G107" s="337">
        <f t="shared" si="1"/>
        <v>0</v>
      </c>
    </row>
    <row r="108" spans="1:7" s="337" customFormat="1" x14ac:dyDescent="0.2">
      <c r="A108" s="332"/>
      <c r="B108" s="342"/>
      <c r="C108" s="334"/>
      <c r="D108" s="337" t="s">
        <v>132</v>
      </c>
      <c r="E108" s="340" t="s">
        <v>77</v>
      </c>
      <c r="F108" s="14">
        <v>103.08</v>
      </c>
      <c r="G108" s="337">
        <f t="shared" si="1"/>
        <v>106.17</v>
      </c>
    </row>
    <row r="109" spans="1:7" s="337" customFormat="1" x14ac:dyDescent="0.2">
      <c r="A109" s="332"/>
      <c r="B109" s="342"/>
      <c r="C109" s="346"/>
      <c r="D109" s="337" t="s">
        <v>141</v>
      </c>
      <c r="E109" s="340" t="s">
        <v>77</v>
      </c>
      <c r="F109" s="14">
        <v>103.08</v>
      </c>
      <c r="G109" s="337">
        <f t="shared" si="1"/>
        <v>106.17</v>
      </c>
    </row>
    <row r="110" spans="1:7" s="337" customFormat="1" x14ac:dyDescent="0.2">
      <c r="A110" s="332"/>
      <c r="B110" s="342"/>
      <c r="C110" s="346"/>
      <c r="D110" s="337" t="s">
        <v>142</v>
      </c>
      <c r="E110" s="340" t="s">
        <v>77</v>
      </c>
      <c r="F110" s="14">
        <v>103.08</v>
      </c>
      <c r="G110" s="337">
        <f t="shared" si="1"/>
        <v>106.17</v>
      </c>
    </row>
    <row r="111" spans="1:7" s="337" customFormat="1" x14ac:dyDescent="0.2">
      <c r="A111" s="332"/>
      <c r="B111" s="342"/>
      <c r="C111" s="346"/>
      <c r="D111" s="337" t="s">
        <v>135</v>
      </c>
      <c r="E111" s="340" t="s">
        <v>77</v>
      </c>
      <c r="F111" s="14">
        <v>103.08</v>
      </c>
      <c r="G111" s="337">
        <f t="shared" si="1"/>
        <v>106.17</v>
      </c>
    </row>
    <row r="112" spans="1:7" s="337" customFormat="1" x14ac:dyDescent="0.2">
      <c r="A112" s="332"/>
      <c r="B112" s="342"/>
      <c r="C112" s="346"/>
      <c r="D112" s="337" t="s">
        <v>136</v>
      </c>
      <c r="E112" s="340" t="s">
        <v>77</v>
      </c>
      <c r="F112" s="14">
        <v>103.08</v>
      </c>
      <c r="G112" s="337">
        <f t="shared" si="1"/>
        <v>106.17</v>
      </c>
    </row>
    <row r="113" spans="1:9" s="337" customFormat="1" x14ac:dyDescent="0.2">
      <c r="A113" s="332"/>
      <c r="B113" s="342"/>
      <c r="C113" s="346"/>
      <c r="D113" s="337" t="s">
        <v>137</v>
      </c>
      <c r="E113" s="340" t="s">
        <v>77</v>
      </c>
      <c r="F113" s="14">
        <v>103.08</v>
      </c>
      <c r="G113" s="337">
        <f t="shared" si="1"/>
        <v>106.17</v>
      </c>
    </row>
    <row r="114" spans="1:9" s="337" customFormat="1" x14ac:dyDescent="0.2">
      <c r="A114" s="332"/>
      <c r="B114" s="342"/>
      <c r="C114" s="346"/>
      <c r="D114" s="341"/>
      <c r="E114" s="340"/>
      <c r="F114" s="14"/>
      <c r="G114" s="337">
        <f t="shared" si="1"/>
        <v>0</v>
      </c>
    </row>
    <row r="115" spans="1:9" ht="15.75" x14ac:dyDescent="0.25">
      <c r="A115" s="1"/>
      <c r="B115" s="66" t="s">
        <v>143</v>
      </c>
      <c r="C115" s="67" t="s">
        <v>144</v>
      </c>
      <c r="F115" s="14"/>
      <c r="G115" s="14">
        <f t="shared" si="1"/>
        <v>0</v>
      </c>
    </row>
    <row r="116" spans="1:9" x14ac:dyDescent="0.2">
      <c r="A116" s="1"/>
      <c r="B116" s="10"/>
      <c r="C116" s="87" t="s">
        <v>391</v>
      </c>
      <c r="E116" s="13" t="s">
        <v>61</v>
      </c>
      <c r="F116" s="150">
        <v>286.61811779999999</v>
      </c>
      <c r="G116" s="14">
        <f t="shared" si="1"/>
        <v>295.22000000000003</v>
      </c>
      <c r="I116" s="1" t="s">
        <v>365</v>
      </c>
    </row>
    <row r="117" spans="1:9" x14ac:dyDescent="0.2">
      <c r="A117" s="1"/>
      <c r="B117" s="10"/>
      <c r="C117" s="87" t="s">
        <v>392</v>
      </c>
      <c r="E117" s="13" t="s">
        <v>61</v>
      </c>
      <c r="F117" s="150">
        <v>138.75122641799999</v>
      </c>
      <c r="G117" s="14">
        <f t="shared" si="1"/>
        <v>142.91</v>
      </c>
    </row>
    <row r="118" spans="1:9" x14ac:dyDescent="0.2">
      <c r="A118" s="1"/>
      <c r="B118" s="10"/>
      <c r="C118" s="87" t="s">
        <v>1087</v>
      </c>
      <c r="E118" s="13" t="s">
        <v>61</v>
      </c>
      <c r="F118" s="150">
        <v>208.90249947000001</v>
      </c>
      <c r="G118" s="14">
        <f t="shared" si="1"/>
        <v>215.17</v>
      </c>
      <c r="I118" s="1" t="s">
        <v>365</v>
      </c>
    </row>
    <row r="119" spans="1:9" x14ac:dyDescent="0.2">
      <c r="A119" s="1"/>
      <c r="B119" s="10"/>
      <c r="C119" s="87" t="s">
        <v>1086</v>
      </c>
      <c r="E119" s="13" t="s">
        <v>61</v>
      </c>
      <c r="F119" s="150">
        <v>153.78310646999998</v>
      </c>
      <c r="G119" s="14">
        <f t="shared" si="1"/>
        <v>158.4</v>
      </c>
    </row>
    <row r="120" spans="1:9" x14ac:dyDescent="0.2">
      <c r="A120" s="1"/>
      <c r="B120" s="10"/>
      <c r="C120" s="87" t="s">
        <v>145</v>
      </c>
      <c r="E120" s="13" t="s">
        <v>77</v>
      </c>
      <c r="F120" s="150">
        <v>26.124315000000003</v>
      </c>
      <c r="G120" s="14">
        <f t="shared" si="1"/>
        <v>26.91</v>
      </c>
      <c r="I120" s="1" t="s">
        <v>365</v>
      </c>
    </row>
    <row r="121" spans="1:9" x14ac:dyDescent="0.2">
      <c r="A121" s="1"/>
      <c r="B121" s="10"/>
      <c r="C121" s="87" t="s">
        <v>1013</v>
      </c>
      <c r="E121" s="13" t="s">
        <v>77</v>
      </c>
      <c r="F121" s="150">
        <v>20.899452000000007</v>
      </c>
      <c r="G121" s="14">
        <f t="shared" si="1"/>
        <v>21.53</v>
      </c>
    </row>
    <row r="122" spans="1:9" x14ac:dyDescent="0.2">
      <c r="A122" s="1"/>
      <c r="B122" s="10"/>
      <c r="C122" s="87" t="s">
        <v>146</v>
      </c>
      <c r="E122" s="13" t="s">
        <v>77</v>
      </c>
      <c r="F122" s="150">
        <v>29.681793749999997</v>
      </c>
      <c r="G122" s="14">
        <f t="shared" si="1"/>
        <v>30.57</v>
      </c>
      <c r="I122" s="1" t="s">
        <v>365</v>
      </c>
    </row>
    <row r="123" spans="1:9" x14ac:dyDescent="0.2">
      <c r="A123" s="1"/>
      <c r="B123" s="10"/>
      <c r="C123" s="87" t="s">
        <v>147</v>
      </c>
      <c r="E123" s="13" t="s">
        <v>77</v>
      </c>
      <c r="F123" s="150">
        <v>32.678775538500005</v>
      </c>
      <c r="G123" s="14">
        <f t="shared" si="1"/>
        <v>33.659999999999997</v>
      </c>
      <c r="I123" s="1" t="s">
        <v>365</v>
      </c>
    </row>
    <row r="124" spans="1:9" x14ac:dyDescent="0.2">
      <c r="A124" s="1"/>
      <c r="B124" s="10"/>
      <c r="C124" s="87" t="s">
        <v>1014</v>
      </c>
      <c r="E124" s="13" t="s">
        <v>77</v>
      </c>
      <c r="F124" s="150">
        <v>221.84614661999998</v>
      </c>
      <c r="G124" s="14">
        <f t="shared" si="1"/>
        <v>228.5</v>
      </c>
      <c r="I124" s="1" t="s">
        <v>365</v>
      </c>
    </row>
    <row r="125" spans="1:9" x14ac:dyDescent="0.2">
      <c r="A125" s="1"/>
      <c r="B125" s="10"/>
      <c r="C125" s="87" t="s">
        <v>1012</v>
      </c>
      <c r="E125" s="13" t="s">
        <v>77</v>
      </c>
      <c r="F125" s="150">
        <v>74.788084349999991</v>
      </c>
      <c r="G125" s="14">
        <f t="shared" si="1"/>
        <v>77.03</v>
      </c>
    </row>
    <row r="126" spans="1:9" x14ac:dyDescent="0.2">
      <c r="A126" s="1"/>
      <c r="B126" s="10"/>
      <c r="C126" s="87" t="s">
        <v>393</v>
      </c>
      <c r="E126" s="13" t="s">
        <v>77</v>
      </c>
      <c r="F126" s="150">
        <v>9.0978822164999986</v>
      </c>
      <c r="G126" s="14">
        <f t="shared" si="1"/>
        <v>9.3699999999999992</v>
      </c>
    </row>
    <row r="127" spans="1:9" x14ac:dyDescent="0.2">
      <c r="A127" s="1"/>
      <c r="B127" s="10"/>
      <c r="C127" s="87"/>
      <c r="F127" s="14"/>
      <c r="G127" s="14">
        <f t="shared" si="1"/>
        <v>0</v>
      </c>
    </row>
    <row r="128" spans="1:9" ht="15.75" x14ac:dyDescent="0.25">
      <c r="A128" s="1"/>
      <c r="B128" s="66" t="s">
        <v>148</v>
      </c>
      <c r="C128" s="67" t="s">
        <v>149</v>
      </c>
      <c r="F128" s="14"/>
      <c r="G128" s="14">
        <f t="shared" si="1"/>
        <v>0</v>
      </c>
    </row>
    <row r="129" spans="3:256" x14ac:dyDescent="0.2">
      <c r="C129" s="87" t="s">
        <v>150</v>
      </c>
      <c r="E129" s="13" t="s">
        <v>77</v>
      </c>
      <c r="F129" s="14">
        <v>19.84</v>
      </c>
      <c r="G129" s="14">
        <f t="shared" si="1"/>
        <v>20.440000000000001</v>
      </c>
      <c r="I129" s="1" t="s">
        <v>365</v>
      </c>
    </row>
    <row r="130" spans="3:256" x14ac:dyDescent="0.2">
      <c r="C130" s="87" t="s">
        <v>151</v>
      </c>
      <c r="E130" s="13" t="s">
        <v>77</v>
      </c>
      <c r="F130" s="14">
        <v>94.62</v>
      </c>
      <c r="G130" s="14">
        <f t="shared" si="1"/>
        <v>97.46</v>
      </c>
      <c r="I130" s="1" t="s">
        <v>365</v>
      </c>
    </row>
    <row r="131" spans="3:256" x14ac:dyDescent="0.2">
      <c r="C131" s="87" t="s">
        <v>152</v>
      </c>
      <c r="E131" s="13" t="s">
        <v>77</v>
      </c>
      <c r="F131" s="14">
        <v>105.51</v>
      </c>
      <c r="G131" s="14">
        <f t="shared" si="1"/>
        <v>108.68</v>
      </c>
      <c r="I131" s="1" t="s">
        <v>365</v>
      </c>
    </row>
    <row r="132" spans="3:256" x14ac:dyDescent="0.2">
      <c r="C132" s="12" t="s">
        <v>153</v>
      </c>
      <c r="E132" s="13" t="s">
        <v>77</v>
      </c>
      <c r="F132" s="14">
        <v>63.14</v>
      </c>
      <c r="G132" s="14">
        <f t="shared" si="1"/>
        <v>65.03</v>
      </c>
      <c r="I132" s="1" t="s">
        <v>365</v>
      </c>
    </row>
    <row r="133" spans="3:256" s="64" customFormat="1" x14ac:dyDescent="0.2">
      <c r="C133" s="64" t="s">
        <v>154</v>
      </c>
      <c r="E133" s="13" t="s">
        <v>61</v>
      </c>
      <c r="F133" s="14">
        <v>155.75</v>
      </c>
      <c r="G133" s="14">
        <f t="shared" si="1"/>
        <v>160.41999999999999</v>
      </c>
      <c r="I133" s="1" t="s">
        <v>365</v>
      </c>
      <c r="N133" s="1"/>
      <c r="HK133" s="64" t="s">
        <v>66</v>
      </c>
      <c r="HL133" s="64" t="s">
        <v>66</v>
      </c>
      <c r="HM133" s="64" t="s">
        <v>66</v>
      </c>
      <c r="HN133" s="64" t="s">
        <v>66</v>
      </c>
      <c r="HO133" s="64" t="s">
        <v>66</v>
      </c>
      <c r="HP133" s="64" t="s">
        <v>66</v>
      </c>
      <c r="HQ133" s="64" t="s">
        <v>66</v>
      </c>
      <c r="HR133" s="64" t="s">
        <v>66</v>
      </c>
      <c r="HS133" s="64" t="s">
        <v>66</v>
      </c>
      <c r="HT133" s="64" t="s">
        <v>66</v>
      </c>
      <c r="HU133" s="64" t="s">
        <v>66</v>
      </c>
      <c r="HV133" s="64" t="s">
        <v>66</v>
      </c>
      <c r="HW133" s="64" t="s">
        <v>66</v>
      </c>
      <c r="HX133" s="64" t="s">
        <v>66</v>
      </c>
      <c r="HY133" s="64" t="s">
        <v>66</v>
      </c>
      <c r="HZ133" s="64" t="s">
        <v>66</v>
      </c>
      <c r="IA133" s="64" t="s">
        <v>66</v>
      </c>
      <c r="IB133" s="64" t="s">
        <v>66</v>
      </c>
      <c r="IC133" s="64" t="s">
        <v>66</v>
      </c>
      <c r="ID133" s="64" t="s">
        <v>66</v>
      </c>
      <c r="IE133" s="64" t="s">
        <v>66</v>
      </c>
      <c r="IF133" s="64" t="s">
        <v>66</v>
      </c>
      <c r="IG133" s="64" t="s">
        <v>66</v>
      </c>
      <c r="IH133" s="64" t="s">
        <v>66</v>
      </c>
      <c r="II133" s="64" t="s">
        <v>66</v>
      </c>
      <c r="IJ133" s="64" t="s">
        <v>66</v>
      </c>
      <c r="IK133" s="64" t="s">
        <v>66</v>
      </c>
      <c r="IL133" s="64" t="s">
        <v>66</v>
      </c>
      <c r="IM133" s="64" t="s">
        <v>66</v>
      </c>
      <c r="IN133" s="64" t="s">
        <v>66</v>
      </c>
      <c r="IO133" s="64" t="s">
        <v>66</v>
      </c>
      <c r="IP133" s="1"/>
      <c r="IQ133" s="1"/>
      <c r="IR133" s="1"/>
      <c r="IS133" s="1"/>
      <c r="IT133" s="1"/>
      <c r="IU133" s="1"/>
      <c r="IV133" s="1"/>
    </row>
    <row r="134" spans="3:256" s="64" customFormat="1" x14ac:dyDescent="0.2">
      <c r="C134" s="64" t="s">
        <v>155</v>
      </c>
      <c r="E134" s="13" t="s">
        <v>61</v>
      </c>
      <c r="F134" s="14">
        <v>157.24</v>
      </c>
      <c r="G134" s="14">
        <f t="shared" si="1"/>
        <v>161.96</v>
      </c>
      <c r="I134" s="1" t="s">
        <v>365</v>
      </c>
      <c r="N134" s="1"/>
      <c r="HK134" s="64" t="s">
        <v>67</v>
      </c>
      <c r="HL134" s="64" t="s">
        <v>67</v>
      </c>
      <c r="HM134" s="64" t="s">
        <v>67</v>
      </c>
      <c r="HN134" s="64" t="s">
        <v>67</v>
      </c>
      <c r="HO134" s="64" t="s">
        <v>67</v>
      </c>
      <c r="HP134" s="64" t="s">
        <v>67</v>
      </c>
      <c r="HQ134" s="64" t="s">
        <v>67</v>
      </c>
      <c r="HR134" s="64" t="s">
        <v>67</v>
      </c>
      <c r="HS134" s="64" t="s">
        <v>67</v>
      </c>
      <c r="HT134" s="64" t="s">
        <v>67</v>
      </c>
      <c r="HU134" s="64" t="s">
        <v>67</v>
      </c>
      <c r="HV134" s="64" t="s">
        <v>67</v>
      </c>
      <c r="HW134" s="64" t="s">
        <v>67</v>
      </c>
      <c r="HX134" s="64" t="s">
        <v>67</v>
      </c>
      <c r="HY134" s="64" t="s">
        <v>67</v>
      </c>
      <c r="HZ134" s="64" t="s">
        <v>67</v>
      </c>
      <c r="IA134" s="64" t="s">
        <v>67</v>
      </c>
      <c r="IB134" s="64" t="s">
        <v>67</v>
      </c>
      <c r="IC134" s="64" t="s">
        <v>67</v>
      </c>
      <c r="ID134" s="64" t="s">
        <v>67</v>
      </c>
      <c r="IE134" s="64" t="s">
        <v>67</v>
      </c>
      <c r="IF134" s="64" t="s">
        <v>67</v>
      </c>
      <c r="IG134" s="64" t="s">
        <v>67</v>
      </c>
      <c r="IH134" s="64" t="s">
        <v>67</v>
      </c>
      <c r="II134" s="64" t="s">
        <v>67</v>
      </c>
      <c r="IJ134" s="64" t="s">
        <v>67</v>
      </c>
      <c r="IK134" s="64" t="s">
        <v>67</v>
      </c>
      <c r="IL134" s="64" t="s">
        <v>67</v>
      </c>
      <c r="IM134" s="64" t="s">
        <v>67</v>
      </c>
      <c r="IN134" s="64" t="s">
        <v>67</v>
      </c>
      <c r="IO134" s="64" t="s">
        <v>67</v>
      </c>
      <c r="IP134" s="1"/>
      <c r="IQ134" s="1"/>
      <c r="IR134" s="1"/>
      <c r="IS134" s="1"/>
      <c r="IT134" s="1"/>
      <c r="IU134" s="1"/>
      <c r="IV134" s="1"/>
    </row>
    <row r="135" spans="3:256" x14ac:dyDescent="0.2">
      <c r="C135" s="12" t="s">
        <v>156</v>
      </c>
      <c r="E135" s="13" t="s">
        <v>61</v>
      </c>
      <c r="F135" s="14">
        <v>155.75</v>
      </c>
      <c r="G135" s="14">
        <f t="shared" si="1"/>
        <v>160.41999999999999</v>
      </c>
      <c r="I135" s="1" t="s">
        <v>365</v>
      </c>
    </row>
    <row r="136" spans="3:256" x14ac:dyDescent="0.2">
      <c r="C136" s="12" t="s">
        <v>157</v>
      </c>
      <c r="E136" s="13" t="s">
        <v>61</v>
      </c>
      <c r="F136" s="14">
        <v>157.24</v>
      </c>
      <c r="G136" s="14">
        <f t="shared" si="1"/>
        <v>161.96</v>
      </c>
      <c r="I136" s="1" t="s">
        <v>365</v>
      </c>
    </row>
    <row r="137" spans="3:256" x14ac:dyDescent="0.2">
      <c r="C137" s="12" t="s">
        <v>158</v>
      </c>
      <c r="E137" s="13" t="s">
        <v>61</v>
      </c>
      <c r="F137" s="14">
        <v>166.55</v>
      </c>
      <c r="G137" s="14">
        <f t="shared" si="1"/>
        <v>171.55</v>
      </c>
      <c r="I137" s="1" t="s">
        <v>365</v>
      </c>
    </row>
    <row r="138" spans="3:256" x14ac:dyDescent="0.2">
      <c r="C138" s="12" t="s">
        <v>159</v>
      </c>
      <c r="E138" s="13" t="s">
        <v>61</v>
      </c>
      <c r="F138" s="14">
        <v>171.96</v>
      </c>
      <c r="G138" s="14">
        <f t="shared" ref="G138:G187" si="2">ROUND((F138*(1+G$2)),2)</f>
        <v>177.12</v>
      </c>
      <c r="I138" s="1" t="s">
        <v>365</v>
      </c>
    </row>
    <row r="139" spans="3:256" x14ac:dyDescent="0.2">
      <c r="C139" s="12" t="s">
        <v>160</v>
      </c>
      <c r="E139" s="13" t="s">
        <v>61</v>
      </c>
      <c r="F139" s="14">
        <v>180.17</v>
      </c>
      <c r="G139" s="14">
        <f t="shared" si="2"/>
        <v>185.58</v>
      </c>
      <c r="I139" s="1" t="s">
        <v>365</v>
      </c>
    </row>
    <row r="140" spans="3:256" x14ac:dyDescent="0.2">
      <c r="C140" s="12" t="s">
        <v>161</v>
      </c>
      <c r="E140" s="13" t="s">
        <v>61</v>
      </c>
      <c r="F140" s="14">
        <v>170.76</v>
      </c>
      <c r="G140" s="14">
        <f t="shared" si="2"/>
        <v>175.88</v>
      </c>
      <c r="I140" s="1" t="s">
        <v>365</v>
      </c>
    </row>
    <row r="141" spans="3:256" x14ac:dyDescent="0.2">
      <c r="C141" s="12" t="s">
        <v>162</v>
      </c>
      <c r="E141" s="13" t="s">
        <v>61</v>
      </c>
      <c r="F141" s="14">
        <v>165.96</v>
      </c>
      <c r="G141" s="14">
        <f t="shared" si="2"/>
        <v>170.94</v>
      </c>
      <c r="I141" s="1" t="s">
        <v>365</v>
      </c>
    </row>
    <row r="142" spans="3:256" x14ac:dyDescent="0.2">
      <c r="C142" s="12" t="s">
        <v>163</v>
      </c>
      <c r="E142" s="13" t="s">
        <v>61</v>
      </c>
      <c r="F142" s="14">
        <v>155.44999999999999</v>
      </c>
      <c r="G142" s="14">
        <f t="shared" si="2"/>
        <v>160.11000000000001</v>
      </c>
      <c r="I142" s="1" t="s">
        <v>365</v>
      </c>
    </row>
    <row r="143" spans="3:256" x14ac:dyDescent="0.2">
      <c r="C143" s="12" t="s">
        <v>164</v>
      </c>
      <c r="E143" s="13" t="s">
        <v>77</v>
      </c>
      <c r="F143" s="14">
        <v>9.1999999999999993</v>
      </c>
      <c r="G143" s="14">
        <f t="shared" si="2"/>
        <v>9.48</v>
      </c>
      <c r="I143" s="1" t="s">
        <v>365</v>
      </c>
    </row>
    <row r="144" spans="3:256" x14ac:dyDescent="0.2">
      <c r="C144" s="12" t="s">
        <v>165</v>
      </c>
      <c r="E144" s="13" t="s">
        <v>77</v>
      </c>
      <c r="F144" s="14">
        <v>10.38</v>
      </c>
      <c r="G144" s="14">
        <f t="shared" si="2"/>
        <v>10.69</v>
      </c>
      <c r="I144" s="1" t="s">
        <v>365</v>
      </c>
    </row>
    <row r="145" spans="3:15" x14ac:dyDescent="0.2">
      <c r="C145" s="12" t="s">
        <v>166</v>
      </c>
      <c r="E145" s="13" t="s">
        <v>77</v>
      </c>
      <c r="F145" s="14">
        <v>12.46</v>
      </c>
      <c r="G145" s="14">
        <f t="shared" si="2"/>
        <v>12.83</v>
      </c>
      <c r="I145" s="1" t="s">
        <v>365</v>
      </c>
    </row>
    <row r="146" spans="3:15" x14ac:dyDescent="0.2">
      <c r="C146" s="12" t="s">
        <v>167</v>
      </c>
      <c r="E146" s="13" t="s">
        <v>77</v>
      </c>
      <c r="F146" s="14">
        <v>11.86</v>
      </c>
      <c r="G146" s="14">
        <f t="shared" si="2"/>
        <v>12.22</v>
      </c>
      <c r="I146" s="1" t="s">
        <v>365</v>
      </c>
    </row>
    <row r="147" spans="3:15" x14ac:dyDescent="0.2">
      <c r="C147" s="12" t="s">
        <v>168</v>
      </c>
      <c r="E147" s="13" t="s">
        <v>77</v>
      </c>
      <c r="F147" s="14">
        <v>11.86</v>
      </c>
      <c r="G147" s="14">
        <f t="shared" si="2"/>
        <v>12.22</v>
      </c>
      <c r="I147" s="1" t="s">
        <v>365</v>
      </c>
    </row>
    <row r="148" spans="3:15" x14ac:dyDescent="0.2">
      <c r="C148" s="12" t="s">
        <v>169</v>
      </c>
      <c r="E148" s="13" t="s">
        <v>77</v>
      </c>
      <c r="F148" s="14">
        <v>21.11</v>
      </c>
      <c r="G148" s="14">
        <f t="shared" si="2"/>
        <v>21.74</v>
      </c>
      <c r="I148" s="1" t="s">
        <v>365</v>
      </c>
      <c r="O148" s="1" t="s">
        <v>368</v>
      </c>
    </row>
    <row r="149" spans="3:15" x14ac:dyDescent="0.2">
      <c r="C149" s="12" t="s">
        <v>170</v>
      </c>
      <c r="E149" s="13" t="s">
        <v>77</v>
      </c>
      <c r="F149" s="14">
        <v>25.68</v>
      </c>
      <c r="G149" s="14">
        <f t="shared" si="2"/>
        <v>26.45</v>
      </c>
      <c r="I149" s="1" t="s">
        <v>365</v>
      </c>
      <c r="O149" s="1" t="s">
        <v>368</v>
      </c>
    </row>
    <row r="150" spans="3:15" x14ac:dyDescent="0.2">
      <c r="C150" s="12" t="s">
        <v>171</v>
      </c>
      <c r="E150" s="13" t="s">
        <v>77</v>
      </c>
      <c r="F150" s="14">
        <v>23.97</v>
      </c>
      <c r="G150" s="14">
        <f t="shared" si="2"/>
        <v>24.69</v>
      </c>
      <c r="I150" s="1" t="s">
        <v>365</v>
      </c>
      <c r="O150" s="1" t="s">
        <v>368</v>
      </c>
    </row>
    <row r="151" spans="3:15" x14ac:dyDescent="0.2">
      <c r="C151" s="12" t="s">
        <v>172</v>
      </c>
      <c r="E151" s="13" t="s">
        <v>77</v>
      </c>
      <c r="F151" s="14">
        <v>23.68</v>
      </c>
      <c r="G151" s="14">
        <f t="shared" si="2"/>
        <v>24.39</v>
      </c>
      <c r="I151" s="1" t="s">
        <v>365</v>
      </c>
      <c r="O151" s="1" t="s">
        <v>368</v>
      </c>
    </row>
    <row r="152" spans="3:15" x14ac:dyDescent="0.2">
      <c r="C152" s="12" t="s">
        <v>173</v>
      </c>
      <c r="E152" s="13" t="s">
        <v>77</v>
      </c>
      <c r="F152" s="14">
        <v>29.96</v>
      </c>
      <c r="G152" s="14">
        <f t="shared" si="2"/>
        <v>30.86</v>
      </c>
      <c r="I152" s="1" t="s">
        <v>365</v>
      </c>
      <c r="O152" s="1" t="s">
        <v>368</v>
      </c>
    </row>
    <row r="153" spans="3:15" x14ac:dyDescent="0.2">
      <c r="C153" s="12" t="s">
        <v>174</v>
      </c>
      <c r="E153" s="13" t="s">
        <v>77</v>
      </c>
      <c r="F153" s="14">
        <v>24.82</v>
      </c>
      <c r="G153" s="14">
        <f t="shared" si="2"/>
        <v>25.56</v>
      </c>
      <c r="I153" s="1" t="s">
        <v>365</v>
      </c>
      <c r="O153" s="1" t="s">
        <v>368</v>
      </c>
    </row>
    <row r="154" spans="3:15" x14ac:dyDescent="0.2">
      <c r="C154" s="12" t="s">
        <v>175</v>
      </c>
      <c r="E154" s="13" t="s">
        <v>77</v>
      </c>
      <c r="F154" s="14">
        <v>35.659999999999997</v>
      </c>
      <c r="G154" s="14">
        <f t="shared" si="2"/>
        <v>36.729999999999997</v>
      </c>
      <c r="I154" s="1" t="s">
        <v>365</v>
      </c>
      <c r="O154" s="1" t="s">
        <v>368</v>
      </c>
    </row>
    <row r="155" spans="3:15" x14ac:dyDescent="0.2">
      <c r="C155" s="12" t="s">
        <v>176</v>
      </c>
      <c r="E155" s="13" t="s">
        <v>77</v>
      </c>
      <c r="F155" s="14">
        <v>32.81</v>
      </c>
      <c r="G155" s="14">
        <f t="shared" si="2"/>
        <v>33.79</v>
      </c>
      <c r="I155" s="1" t="s">
        <v>365</v>
      </c>
      <c r="O155" s="1" t="s">
        <v>368</v>
      </c>
    </row>
    <row r="156" spans="3:15" x14ac:dyDescent="0.2">
      <c r="C156" s="12" t="s">
        <v>177</v>
      </c>
      <c r="E156" s="13" t="s">
        <v>77</v>
      </c>
      <c r="F156" s="14">
        <v>34.229999999999997</v>
      </c>
      <c r="G156" s="14">
        <f t="shared" si="2"/>
        <v>35.26</v>
      </c>
      <c r="I156" s="1" t="s">
        <v>365</v>
      </c>
      <c r="O156" s="1" t="s">
        <v>368</v>
      </c>
    </row>
    <row r="157" spans="3:15" x14ac:dyDescent="0.2">
      <c r="C157" s="12" t="s">
        <v>178</v>
      </c>
      <c r="E157" s="13" t="s">
        <v>77</v>
      </c>
      <c r="F157" s="14">
        <v>0</v>
      </c>
      <c r="G157" s="14">
        <f t="shared" si="2"/>
        <v>0</v>
      </c>
      <c r="I157" s="1" t="s">
        <v>365</v>
      </c>
      <c r="O157" s="1" t="s">
        <v>368</v>
      </c>
    </row>
    <row r="158" spans="3:15" x14ac:dyDescent="0.2">
      <c r="C158" s="71" t="s">
        <v>179</v>
      </c>
      <c r="E158" s="13" t="s">
        <v>77</v>
      </c>
      <c r="F158" s="14">
        <v>6.97</v>
      </c>
      <c r="G158" s="14">
        <f t="shared" si="2"/>
        <v>7.18</v>
      </c>
      <c r="I158" s="1" t="s">
        <v>365</v>
      </c>
    </row>
    <row r="159" spans="3:15" x14ac:dyDescent="0.2">
      <c r="C159" s="71" t="s">
        <v>180</v>
      </c>
      <c r="E159" s="13" t="s">
        <v>77</v>
      </c>
      <c r="F159" s="14">
        <v>12.16</v>
      </c>
      <c r="G159" s="14">
        <f t="shared" si="2"/>
        <v>12.52</v>
      </c>
      <c r="I159" s="1" t="s">
        <v>365</v>
      </c>
    </row>
    <row r="160" spans="3:15" x14ac:dyDescent="0.2">
      <c r="C160" s="71" t="s">
        <v>181</v>
      </c>
      <c r="E160" s="13" t="s">
        <v>77</v>
      </c>
      <c r="F160" s="14">
        <v>17.010000000000002</v>
      </c>
      <c r="G160" s="14">
        <f t="shared" si="2"/>
        <v>17.52</v>
      </c>
      <c r="I160" s="1" t="s">
        <v>365</v>
      </c>
    </row>
    <row r="161" spans="1:15" x14ac:dyDescent="0.2">
      <c r="C161" s="71" t="s">
        <v>182</v>
      </c>
      <c r="E161" s="13" t="s">
        <v>77</v>
      </c>
      <c r="F161" s="14">
        <v>21.91</v>
      </c>
      <c r="G161" s="14">
        <f t="shared" si="2"/>
        <v>22.57</v>
      </c>
      <c r="I161" s="1" t="s">
        <v>365</v>
      </c>
    </row>
    <row r="162" spans="1:15" x14ac:dyDescent="0.2">
      <c r="C162" s="71" t="s">
        <v>183</v>
      </c>
      <c r="E162" s="13" t="s">
        <v>77</v>
      </c>
      <c r="F162" s="14">
        <v>1.5478000000000001</v>
      </c>
      <c r="G162" s="14">
        <f t="shared" si="2"/>
        <v>1.59</v>
      </c>
      <c r="I162" s="1" t="s">
        <v>365</v>
      </c>
    </row>
    <row r="163" spans="1:15" x14ac:dyDescent="0.2">
      <c r="C163" s="71" t="s">
        <v>184</v>
      </c>
      <c r="E163" s="13" t="s">
        <v>77</v>
      </c>
      <c r="F163" s="14">
        <v>17.309999999999999</v>
      </c>
      <c r="G163" s="14">
        <f t="shared" si="2"/>
        <v>17.829999999999998</v>
      </c>
      <c r="I163" s="1" t="s">
        <v>365</v>
      </c>
    </row>
    <row r="164" spans="1:15" x14ac:dyDescent="0.2">
      <c r="C164" s="71" t="s">
        <v>185</v>
      </c>
      <c r="E164" s="13" t="s">
        <v>77</v>
      </c>
      <c r="F164" s="14">
        <v>18.73</v>
      </c>
      <c r="G164" s="14">
        <f t="shared" si="2"/>
        <v>19.29</v>
      </c>
      <c r="I164" s="1" t="s">
        <v>365</v>
      </c>
    </row>
    <row r="165" spans="1:15" x14ac:dyDescent="0.2">
      <c r="C165" s="71" t="s">
        <v>186</v>
      </c>
      <c r="E165" s="13" t="s">
        <v>77</v>
      </c>
      <c r="F165" s="14">
        <v>7.49</v>
      </c>
      <c r="G165" s="14">
        <f t="shared" si="2"/>
        <v>7.71</v>
      </c>
      <c r="I165" s="1" t="s">
        <v>365</v>
      </c>
    </row>
    <row r="166" spans="1:15" x14ac:dyDescent="0.2">
      <c r="C166" s="71" t="s">
        <v>187</v>
      </c>
      <c r="E166" s="13" t="s">
        <v>77</v>
      </c>
      <c r="F166" s="14">
        <v>9.7100000000000009</v>
      </c>
      <c r="G166" s="14">
        <f t="shared" si="2"/>
        <v>10</v>
      </c>
      <c r="I166" s="1" t="s">
        <v>365</v>
      </c>
    </row>
    <row r="167" spans="1:15" x14ac:dyDescent="0.2">
      <c r="F167" s="14"/>
      <c r="G167" s="14">
        <f t="shared" si="2"/>
        <v>0</v>
      </c>
    </row>
    <row r="168" spans="1:15" ht="18.75" x14ac:dyDescent="0.25">
      <c r="A168" s="58" t="s">
        <v>188</v>
      </c>
      <c r="B168" s="59" t="s">
        <v>189</v>
      </c>
      <c r="C168" s="67"/>
      <c r="F168" s="14"/>
      <c r="G168" s="14">
        <f t="shared" si="2"/>
        <v>0</v>
      </c>
    </row>
    <row r="169" spans="1:15" ht="15.75" x14ac:dyDescent="0.2">
      <c r="A169" s="11"/>
      <c r="B169" s="61" t="s">
        <v>148</v>
      </c>
      <c r="C169" s="62" t="s">
        <v>190</v>
      </c>
      <c r="F169" s="14"/>
      <c r="G169" s="14">
        <f t="shared" si="2"/>
        <v>0</v>
      </c>
    </row>
    <row r="170" spans="1:15" x14ac:dyDescent="0.2">
      <c r="A170" s="11"/>
      <c r="B170" s="12"/>
      <c r="C170" s="1" t="s">
        <v>372</v>
      </c>
      <c r="E170" s="13" t="s">
        <v>77</v>
      </c>
      <c r="F170" s="14"/>
      <c r="G170" s="14">
        <f t="shared" si="2"/>
        <v>0</v>
      </c>
      <c r="I170" s="1" t="s">
        <v>365</v>
      </c>
      <c r="O170" s="1" t="s">
        <v>366</v>
      </c>
    </row>
    <row r="171" spans="1:15" x14ac:dyDescent="0.2">
      <c r="A171" s="11"/>
      <c r="B171" s="12"/>
      <c r="C171" s="2"/>
      <c r="F171" s="14"/>
      <c r="G171" s="14">
        <f t="shared" si="2"/>
        <v>0</v>
      </c>
    </row>
    <row r="172" spans="1:15" ht="15.75" x14ac:dyDescent="0.2">
      <c r="A172" s="11"/>
      <c r="B172" s="61" t="s">
        <v>191</v>
      </c>
      <c r="C172" s="62" t="s">
        <v>192</v>
      </c>
      <c r="F172" s="14"/>
      <c r="G172" s="14">
        <f t="shared" si="2"/>
        <v>0</v>
      </c>
    </row>
    <row r="173" spans="1:15" x14ac:dyDescent="0.2">
      <c r="A173" s="11"/>
      <c r="B173" s="12"/>
      <c r="C173" s="12" t="s">
        <v>193</v>
      </c>
      <c r="E173" s="13" t="s">
        <v>194</v>
      </c>
      <c r="F173" s="14"/>
      <c r="G173" s="14">
        <f t="shared" si="2"/>
        <v>0</v>
      </c>
      <c r="I173" s="1" t="s">
        <v>365</v>
      </c>
      <c r="O173" s="1" t="s">
        <v>366</v>
      </c>
    </row>
    <row r="174" spans="1:15" x14ac:dyDescent="0.2">
      <c r="A174" s="11"/>
      <c r="B174" s="12"/>
      <c r="C174" s="12" t="s">
        <v>195</v>
      </c>
      <c r="E174" s="13" t="s">
        <v>194</v>
      </c>
      <c r="F174" s="14"/>
      <c r="G174" s="14">
        <f t="shared" si="2"/>
        <v>0</v>
      </c>
      <c r="I174" s="1" t="s">
        <v>365</v>
      </c>
      <c r="O174" s="1" t="s">
        <v>366</v>
      </c>
    </row>
    <row r="175" spans="1:15" x14ac:dyDescent="0.2">
      <c r="A175" s="11"/>
      <c r="B175" s="12"/>
      <c r="C175" s="12" t="s">
        <v>196</v>
      </c>
      <c r="E175" s="13" t="s">
        <v>194</v>
      </c>
      <c r="F175" s="14"/>
      <c r="G175" s="14">
        <f t="shared" si="2"/>
        <v>0</v>
      </c>
      <c r="I175" s="1" t="s">
        <v>365</v>
      </c>
      <c r="O175" s="1" t="s">
        <v>366</v>
      </c>
    </row>
    <row r="176" spans="1:15" x14ac:dyDescent="0.2">
      <c r="A176" s="11"/>
      <c r="B176" s="12"/>
      <c r="C176" s="12" t="s">
        <v>197</v>
      </c>
      <c r="E176" s="13" t="s">
        <v>194</v>
      </c>
      <c r="F176" s="14"/>
      <c r="G176" s="14">
        <f t="shared" si="2"/>
        <v>0</v>
      </c>
      <c r="I176" s="1" t="s">
        <v>365</v>
      </c>
      <c r="O176" s="1" t="s">
        <v>366</v>
      </c>
    </row>
    <row r="177" spans="1:15" x14ac:dyDescent="0.2">
      <c r="A177" s="11"/>
      <c r="B177" s="12"/>
      <c r="C177" s="2"/>
      <c r="F177" s="14"/>
      <c r="G177" s="14">
        <f t="shared" si="2"/>
        <v>0</v>
      </c>
    </row>
    <row r="178" spans="1:15" ht="15.75" x14ac:dyDescent="0.2">
      <c r="A178" s="11"/>
      <c r="B178" s="61" t="s">
        <v>198</v>
      </c>
      <c r="C178" s="62" t="s">
        <v>199</v>
      </c>
      <c r="F178" s="14"/>
      <c r="G178" s="14">
        <f t="shared" si="2"/>
        <v>0</v>
      </c>
    </row>
    <row r="179" spans="1:15" x14ac:dyDescent="0.2">
      <c r="A179" s="11"/>
      <c r="C179" s="12" t="s">
        <v>373</v>
      </c>
      <c r="E179" s="13" t="s">
        <v>77</v>
      </c>
      <c r="F179" s="14"/>
      <c r="G179" s="14">
        <f t="shared" si="2"/>
        <v>0</v>
      </c>
      <c r="O179" s="1" t="s">
        <v>366</v>
      </c>
    </row>
    <row r="180" spans="1:15" x14ac:dyDescent="0.2">
      <c r="A180" s="11"/>
      <c r="C180" s="12" t="s">
        <v>374</v>
      </c>
      <c r="E180" s="13" t="s">
        <v>77</v>
      </c>
      <c r="F180" s="14"/>
      <c r="G180" s="14">
        <f t="shared" si="2"/>
        <v>0</v>
      </c>
      <c r="O180" s="1" t="s">
        <v>366</v>
      </c>
    </row>
    <row r="181" spans="1:15" x14ac:dyDescent="0.2">
      <c r="F181" s="14"/>
      <c r="G181" s="14">
        <f t="shared" si="2"/>
        <v>0</v>
      </c>
    </row>
    <row r="182" spans="1:15" ht="15.75" x14ac:dyDescent="0.25">
      <c r="B182" s="61" t="s">
        <v>200</v>
      </c>
      <c r="C182" s="67" t="s">
        <v>201</v>
      </c>
      <c r="F182" s="14"/>
      <c r="G182" s="14">
        <f t="shared" si="2"/>
        <v>0</v>
      </c>
    </row>
    <row r="183" spans="1:15" ht="15.75" x14ac:dyDescent="0.2">
      <c r="B183" s="61"/>
      <c r="C183" s="12" t="s">
        <v>917</v>
      </c>
      <c r="E183" s="13" t="s">
        <v>77</v>
      </c>
      <c r="F183" s="14">
        <v>14.02</v>
      </c>
      <c r="G183" s="14">
        <f t="shared" si="2"/>
        <v>14.44</v>
      </c>
    </row>
    <row r="184" spans="1:15" x14ac:dyDescent="0.2">
      <c r="C184" s="12" t="s">
        <v>429</v>
      </c>
      <c r="E184" s="13" t="s">
        <v>77</v>
      </c>
      <c r="F184" s="14">
        <v>13.77</v>
      </c>
      <c r="G184" s="14">
        <f t="shared" si="2"/>
        <v>14.18</v>
      </c>
      <c r="I184" s="1" t="s">
        <v>365</v>
      </c>
    </row>
    <row r="185" spans="1:15" x14ac:dyDescent="0.2">
      <c r="C185" s="12" t="s">
        <v>430</v>
      </c>
      <c r="E185" s="13" t="s">
        <v>77</v>
      </c>
      <c r="F185" s="14">
        <v>16.25</v>
      </c>
      <c r="G185" s="14">
        <f t="shared" si="2"/>
        <v>16.739999999999998</v>
      </c>
      <c r="I185" s="1" t="s">
        <v>365</v>
      </c>
    </row>
    <row r="186" spans="1:15" x14ac:dyDescent="0.2">
      <c r="C186" s="12" t="s">
        <v>430</v>
      </c>
      <c r="E186" s="13" t="s">
        <v>77</v>
      </c>
      <c r="F186" s="14">
        <v>16.25</v>
      </c>
      <c r="G186" s="14">
        <f t="shared" si="2"/>
        <v>16.739999999999998</v>
      </c>
      <c r="I186" s="1" t="s">
        <v>365</v>
      </c>
    </row>
    <row r="187" spans="1:15" x14ac:dyDescent="0.2">
      <c r="C187" s="12" t="s">
        <v>431</v>
      </c>
      <c r="E187" s="13" t="s">
        <v>77</v>
      </c>
      <c r="F187" s="14">
        <v>1.6</v>
      </c>
      <c r="G187" s="14">
        <f t="shared" si="2"/>
        <v>1.65</v>
      </c>
      <c r="I187" s="1" t="s">
        <v>365</v>
      </c>
    </row>
    <row r="188" spans="1:15" x14ac:dyDescent="0.2">
      <c r="F188" s="14"/>
      <c r="I188" s="1" t="s">
        <v>365</v>
      </c>
    </row>
  </sheetData>
  <sheetProtection selectLockedCells="1" selectUnlockedCells="1"/>
  <customSheetViews>
    <customSheetView guid="{78BD55B1-68EB-420C-90D4-21A42E09A787}" scale="90" showPageBreaks="1" hiddenColumns="1" state="hidden" view="pageBreakPreview">
      <selection activeCell="G6" sqref="G6"/>
      <pageMargins left="0.7" right="0.7" top="0.75" bottom="0.75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61D25FAA-9885-4686-B739-70FDA39A07A1}" scale="90" showPageBreaks="1" hiddenColumns="1" state="hidden" view="pageBreakPreview">
      <selection activeCell="G6" sqref="G6"/>
      <pageMargins left="0.7" right="0.7" top="0.75" bottom="0.75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1">
    <mergeCell ref="B2:D2"/>
  </mergeCells>
  <pageMargins left="0.7" right="0.7" top="0.75" bottom="0.75" header="0.51180555555555551" footer="0.51180555555555551"/>
  <pageSetup paperSize="9" firstPageNumber="0" orientation="portrait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CARATULA-DATOS</vt:lpstr>
      <vt:lpstr>MODELO DE PRESUPUESTO</vt:lpstr>
      <vt:lpstr>MODELO DE PRESUPUESTO (2)</vt:lpstr>
      <vt:lpstr>Presupuesto desglosado</vt:lpstr>
      <vt:lpstr>Datos para MEMORIA</vt:lpstr>
      <vt:lpstr>Datos para Formulario</vt:lpstr>
      <vt:lpstr>Datos para DISEÑO</vt:lpstr>
      <vt:lpstr>BASE DATOS MATERIALES</vt:lpstr>
      <vt:lpstr>BASE DE DATO MANO DE OBRA</vt:lpstr>
      <vt:lpstr>PESO DE MATERIALES</vt:lpstr>
      <vt:lpstr>'CARATULA-DATOS'!Área_de_impresión</vt:lpstr>
      <vt:lpstr>'Datos para DISEÑO'!Área_de_impresión</vt:lpstr>
      <vt:lpstr>'MODELO DE PRESUPUESTO'!Área_de_impresión</vt:lpstr>
      <vt:lpstr>'MODELO DE PRESUPUESTO (2)'!Área_de_impresión</vt:lpstr>
      <vt:lpstr>'PESO DE MATERIALES'!Área_de_impresión</vt:lpstr>
      <vt:lpstr>OLE_LINK2_2</vt:lpstr>
      <vt:lpstr>OLE_LINK2_4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Lincoln Edison Garcia Carvajal</dc:creator>
  <cp:lastModifiedBy>Belkys Josefina Mirabal Velez</cp:lastModifiedBy>
  <cp:lastPrinted>2016-03-10T20:13:44Z</cp:lastPrinted>
  <dcterms:created xsi:type="dcterms:W3CDTF">2011-03-23T22:03:13Z</dcterms:created>
  <dcterms:modified xsi:type="dcterms:W3CDTF">2019-08-26T20:13:16Z</dcterms:modified>
</cp:coreProperties>
</file>